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oberts\Dropbox\PPG\2014 07 BOPC 2014\"/>
    </mc:Choice>
  </mc:AlternateContent>
  <bookViews>
    <workbookView xWindow="1905" yWindow="0" windowWidth="13395" windowHeight="8685" tabRatio="809" activeTab="1"/>
  </bookViews>
  <sheets>
    <sheet name="Pilots" sheetId="16" r:id="rId1"/>
    <sheet name="Intermediate results BOPC 2014" sheetId="46" r:id="rId2"/>
    <sheet name="1.1 Navigation" sheetId="12" r:id="rId3"/>
    <sheet name="1.2 Clear start I" sheetId="7" r:id="rId4"/>
    <sheet name="1.3 Slalom I" sheetId="39" r:id="rId5"/>
    <sheet name="1.4 Precision landing I" sheetId="15" r:id="rId6"/>
    <sheet name="1.5 Clear start II" sheetId="38" r:id="rId7"/>
    <sheet name="1.6 Slalom II" sheetId="41" r:id="rId8"/>
    <sheet name="1.7 Precision landing II" sheetId="40" r:id="rId9"/>
    <sheet name="1.8 Short takeoff I" sheetId="9" r:id="rId10"/>
    <sheet name="1.9 Slalom III" sheetId="44" r:id="rId11"/>
    <sheet name="1.10 Bowling landing I" sheetId="11" r:id="rId12"/>
    <sheet name="1.11 Short takeoff II" sheetId="42" r:id="rId13"/>
    <sheet name="1.12 Slalom IV" sheetId="45" r:id="rId14"/>
    <sheet name="1.13 Bowling landing II" sheetId="43" r:id="rId15"/>
    <sheet name="1.14. Economy + Distance" sheetId="13" r:id="rId16"/>
    <sheet name="1.15 Carousel" sheetId="48" r:id="rId17"/>
    <sheet name="1.16 Slalom V" sheetId="49" r:id="rId18"/>
    <sheet name="1.17 Fast Slow" sheetId="6" r:id="rId19"/>
    <sheet name="1.18 Japanese slalom" sheetId="3" r:id="rId20"/>
    <sheet name="1.19 Cloverleaf" sheetId="51" r:id="rId21"/>
    <sheet name="1.20 Slalom VI" sheetId="52" r:id="rId22"/>
    <sheet name="Eight2.2" sheetId="5" r:id="rId23"/>
    <sheet name="Tīrs starts1.1 (2)" sheetId="29" r:id="rId24"/>
    <sheet name="Nosēšanās precizitāte 2.1." sheetId="30" r:id="rId25"/>
    <sheet name="Ātrs starts 2.1" sheetId="8" r:id="rId26"/>
    <sheet name="Triangle" sheetId="31" r:id="rId27"/>
    <sheet name="L 3.2." sheetId="33" r:id="rId28"/>
    <sheet name="Boulinga nosēšanās 3.2." sheetId="32" r:id="rId29"/>
    <sheet name="Y 3.3." sheetId="36" r:id="rId30"/>
    <sheet name="Precision 3.3." sheetId="34" r:id="rId31"/>
    <sheet name="Economy" sheetId="47" r:id="rId32"/>
  </sheets>
  <definedNames>
    <definedName name="_xlnm._FilterDatabase" localSheetId="2" hidden="1">'1.1 Navigation'!$A$3:$I$22</definedName>
    <definedName name="_xlnm._FilterDatabase" localSheetId="11" hidden="1">'1.10 Bowling landing I'!$B$3:$D$12</definedName>
    <definedName name="_xlnm._FilterDatabase" localSheetId="12" hidden="1">'1.11 Short takeoff II'!$B$3:$E$12</definedName>
    <definedName name="_xlnm._FilterDatabase" localSheetId="14" hidden="1">'1.13 Bowling landing II'!$B$3:$D$12</definedName>
    <definedName name="_xlnm._FilterDatabase" localSheetId="15" hidden="1">'1.14. Economy + Distance'!$B$3:$M$11</definedName>
    <definedName name="_xlnm._FilterDatabase" localSheetId="16" hidden="1">'1.15 Carousel'!$B$3:$H$22</definedName>
    <definedName name="_xlnm._FilterDatabase" localSheetId="9" hidden="1">'1.8 Short takeoff I'!$B$3:$E$12</definedName>
    <definedName name="_xlnm._FilterDatabase" localSheetId="28" hidden="1">'Boulinga nosēšanās 3.2.'!$A$3:$D$12</definedName>
    <definedName name="_xlnm._FilterDatabase" localSheetId="31" hidden="1">Economy!$B$3:$S$11</definedName>
    <definedName name="_xlnm._FilterDatabase" localSheetId="1" hidden="1">'Intermediate results BOPC 2014'!$A$2:$W$21</definedName>
    <definedName name="_xlnm._FilterDatabase" localSheetId="27" hidden="1">'L 3.2.'!$A$3:$F$9</definedName>
    <definedName name="_xlnm._FilterDatabase" localSheetId="30" hidden="1">'Precision 3.3.'!$A$3:$D$12</definedName>
    <definedName name="_xlnm._FilterDatabase" localSheetId="26" hidden="1">Triangle!$A$3:$E$3</definedName>
    <definedName name="_xlnm._FilterDatabase" localSheetId="29" hidden="1">'Y 3.3.'!$A$3:$F$12</definedName>
    <definedName name="_xlnm.Print_Area" localSheetId="2">'1.1 Navigation'!$A$1:$I$22</definedName>
    <definedName name="_xlnm.Print_Area" localSheetId="11">'1.10 Bowling landing I'!$A$1:$E$22</definedName>
    <definedName name="_xlnm.Print_Area" localSheetId="12">'1.11 Short takeoff II'!$A$1:$E$22</definedName>
    <definedName name="_xlnm.Print_Area" localSheetId="13">'1.12 Slalom IV'!$A$1:$I$22</definedName>
    <definedName name="_xlnm.Print_Area" localSheetId="14">'1.13 Bowling landing II'!$A$1:$E$22</definedName>
    <definedName name="_xlnm.Print_Area" localSheetId="15">'1.14. Economy + Distance'!$A$1:$N$22</definedName>
    <definedName name="_xlnm.Print_Area" localSheetId="16">'1.15 Carousel'!$A$1:$G$22</definedName>
    <definedName name="_xlnm.Print_Area" localSheetId="17">'1.16 Slalom V'!$A$1:$H$22</definedName>
    <definedName name="_xlnm.Print_Area" localSheetId="18">'1.17 Fast Slow'!$A$1:$O$23</definedName>
    <definedName name="_xlnm.Print_Area" localSheetId="19">'1.18 Japanese slalom'!$A$1:$I$22</definedName>
    <definedName name="_xlnm.Print_Area" localSheetId="20">'1.19 Cloverleaf'!$A$1:$G$22</definedName>
    <definedName name="_xlnm.Print_Area" localSheetId="3">'1.2 Clear start I'!$A$1:$C$22</definedName>
    <definedName name="_xlnm.Print_Area" localSheetId="21">'1.20 Slalom VI'!$A$1:$H$22</definedName>
    <definedName name="_xlnm.Print_Area" localSheetId="4">'1.3 Slalom I'!$A$1:$H$22</definedName>
    <definedName name="_xlnm.Print_Area" localSheetId="5">'1.4 Precision landing I'!$A$1:$D$22</definedName>
    <definedName name="_xlnm.Print_Area" localSheetId="6">'1.5 Clear start II'!$A$1:$C$22</definedName>
    <definedName name="_xlnm.Print_Area" localSheetId="7">'1.6 Slalom II'!$A$1:$I$22</definedName>
    <definedName name="_xlnm.Print_Area" localSheetId="8">'1.7 Precision landing II'!$A$1:$D$22</definedName>
    <definedName name="_xlnm.Print_Area" localSheetId="9">'1.8 Short takeoff I'!$A$1:$E$22</definedName>
    <definedName name="_xlnm.Print_Area" localSheetId="10">'1.9 Slalom III'!$A$1:$I$22</definedName>
    <definedName name="_xlnm.Print_Area" localSheetId="25">'Ātrs starts 2.1'!$A$1:$D$13</definedName>
    <definedName name="_xlnm.Print_Area" localSheetId="28">'Boulinga nosēšanās 3.2.'!$A$1:$D$14</definedName>
    <definedName name="_xlnm.Print_Area" localSheetId="31">Economy!$B$1:$R$11</definedName>
    <definedName name="_xlnm.Print_Area" localSheetId="22">Eight2.2!$A$1:$G$12</definedName>
    <definedName name="_xlnm.Print_Area" localSheetId="1">'Intermediate results BOPC 2014'!$A$1:$W$21</definedName>
    <definedName name="_xlnm.Print_Area" localSheetId="27">'L 3.2.'!$A$1:$G$14</definedName>
    <definedName name="_xlnm.Print_Area" localSheetId="24">'Nosēšanās precizitāte 2.1.'!$A$1:$D$13</definedName>
    <definedName name="_xlnm.Print_Area" localSheetId="30">'Precision 3.3.'!$A$1:$D$12</definedName>
    <definedName name="_xlnm.Print_Area" localSheetId="23">'Tīrs starts1.1 (2)'!$A$1:$D$13</definedName>
    <definedName name="_xlnm.Print_Area" localSheetId="26">Triangle!$A$1:$E$12</definedName>
    <definedName name="_xlnm.Print_Area" localSheetId="29">'Y 3.3.'!$A$1:$F$12</definedName>
    <definedName name="_xlnm.Print_Titles" localSheetId="1">'Intermediate results BOPC 2014'!$A:$B</definedName>
  </definedNames>
  <calcPr calcId="152511"/>
  <extLst>
    <ext xmlns:mx="http://schemas.microsoft.com/office/mac/excel/2008/main" uri="http://schemas.microsoft.com/office/mac/excel/2008/main">
      <mx:ArchID Flags="1"/>
    </ext>
  </extLst>
</workbook>
</file>

<file path=xl/calcChain.xml><?xml version="1.0" encoding="utf-8"?>
<calcChain xmlns="http://schemas.openxmlformats.org/spreadsheetml/2006/main">
  <c r="E20" i="52" l="1"/>
  <c r="E21" i="52"/>
  <c r="E18" i="52"/>
  <c r="E17" i="52"/>
  <c r="E16" i="52"/>
  <c r="E15" i="52"/>
  <c r="E13" i="52"/>
  <c r="E10" i="52"/>
  <c r="E9" i="52"/>
  <c r="E8" i="52"/>
  <c r="E7" i="52"/>
  <c r="E5" i="52"/>
  <c r="H22" i="52" s="1"/>
  <c r="H4" i="52"/>
  <c r="E13" i="51"/>
  <c r="E15" i="51"/>
  <c r="E17" i="51"/>
  <c r="E18" i="51"/>
  <c r="E20" i="51"/>
  <c r="E21" i="51"/>
  <c r="E10" i="51"/>
  <c r="E9" i="51"/>
  <c r="E8" i="51"/>
  <c r="E7" i="51"/>
  <c r="E5" i="51"/>
  <c r="H6" i="52" l="1"/>
  <c r="F7" i="52"/>
  <c r="H7" i="52" s="1"/>
  <c r="F8" i="52"/>
  <c r="H8" i="52" s="1"/>
  <c r="F9" i="52"/>
  <c r="H9" i="52" s="1"/>
  <c r="F10" i="52"/>
  <c r="H10" i="52" s="1"/>
  <c r="F13" i="52"/>
  <c r="H13" i="52" s="1"/>
  <c r="F15" i="52"/>
  <c r="H15" i="52" s="1"/>
  <c r="F16" i="52"/>
  <c r="H16" i="52" s="1"/>
  <c r="F17" i="52"/>
  <c r="H17" i="52" s="1"/>
  <c r="F18" i="52"/>
  <c r="H18" i="52" s="1"/>
  <c r="H19" i="52"/>
  <c r="F21" i="52"/>
  <c r="H21" i="52" s="1"/>
  <c r="F5" i="52"/>
  <c r="H5" i="52" s="1"/>
  <c r="H11" i="52"/>
  <c r="H12" i="52"/>
  <c r="H14" i="52"/>
  <c r="F20" i="52"/>
  <c r="H20" i="52" s="1"/>
  <c r="F22" i="51"/>
  <c r="F21" i="51"/>
  <c r="F20" i="51"/>
  <c r="F19" i="51"/>
  <c r="F18" i="51"/>
  <c r="F17" i="51"/>
  <c r="F16" i="51"/>
  <c r="F15" i="51"/>
  <c r="F14" i="51"/>
  <c r="F13" i="51"/>
  <c r="F5" i="51"/>
  <c r="F4" i="51"/>
  <c r="F12" i="51"/>
  <c r="F11" i="51"/>
  <c r="F10" i="51"/>
  <c r="F9" i="51"/>
  <c r="F8" i="51"/>
  <c r="F7" i="51"/>
  <c r="F6" i="51"/>
  <c r="D15" i="3" l="1"/>
  <c r="F13" i="3"/>
  <c r="F7" i="3"/>
  <c r="F21" i="3"/>
  <c r="F16" i="3"/>
  <c r="F18" i="3"/>
  <c r="F19" i="3"/>
  <c r="F8" i="3"/>
  <c r="F6" i="3"/>
  <c r="F5" i="3"/>
  <c r="F15" i="3"/>
  <c r="F9" i="3"/>
  <c r="F10" i="3"/>
  <c r="F17" i="3"/>
  <c r="G19" i="3"/>
  <c r="G5" i="3"/>
  <c r="G8" i="3"/>
  <c r="G9" i="3"/>
  <c r="G10" i="3"/>
  <c r="E13" i="49"/>
  <c r="E7" i="49"/>
  <c r="E10" i="49"/>
  <c r="E8" i="49"/>
  <c r="E16" i="49"/>
  <c r="E6" i="49"/>
  <c r="E14" i="49"/>
  <c r="E9" i="49"/>
  <c r="E12" i="49"/>
  <c r="E4" i="49"/>
  <c r="E15" i="49"/>
  <c r="E5" i="49"/>
  <c r="F22" i="49" s="1"/>
  <c r="H22" i="49" s="1"/>
  <c r="E11" i="49"/>
  <c r="E14" i="48"/>
  <c r="E21" i="48"/>
  <c r="E12" i="48"/>
  <c r="E15" i="48"/>
  <c r="G15" i="48" s="1"/>
  <c r="E10" i="48"/>
  <c r="G10" i="48" s="1"/>
  <c r="E22" i="48"/>
  <c r="E13" i="48"/>
  <c r="E11" i="48"/>
  <c r="G11" i="48" s="1"/>
  <c r="E16" i="48"/>
  <c r="G16" i="48" s="1"/>
  <c r="E6" i="48"/>
  <c r="E19" i="48"/>
  <c r="E18" i="48"/>
  <c r="E20" i="48"/>
  <c r="G20" i="48" s="1"/>
  <c r="E9" i="48"/>
  <c r="E8" i="48"/>
  <c r="E4" i="48"/>
  <c r="E17" i="48"/>
  <c r="G17" i="48" s="1"/>
  <c r="G22" i="48"/>
  <c r="G21" i="48"/>
  <c r="G19" i="48"/>
  <c r="G18" i="48"/>
  <c r="G12" i="48"/>
  <c r="G13" i="48"/>
  <c r="G14" i="48"/>
  <c r="G9" i="48"/>
  <c r="G4" i="48"/>
  <c r="E7" i="48"/>
  <c r="G7" i="48" s="1"/>
  <c r="E5" i="48"/>
  <c r="G5" i="48" s="1"/>
  <c r="G6" i="48"/>
  <c r="G8" i="48"/>
  <c r="K5" i="13"/>
  <c r="M20" i="13"/>
  <c r="N20" i="13" s="1"/>
  <c r="M22" i="13"/>
  <c r="N22" i="13" s="1"/>
  <c r="M11" i="13"/>
  <c r="N11" i="13" s="1"/>
  <c r="M4" i="13"/>
  <c r="N4" i="13" s="1"/>
  <c r="K16" i="13"/>
  <c r="K10" i="13"/>
  <c r="K19" i="13"/>
  <c r="K15" i="13"/>
  <c r="K18" i="13"/>
  <c r="K14" i="13"/>
  <c r="K8" i="13"/>
  <c r="K9" i="13"/>
  <c r="K21" i="13"/>
  <c r="K12" i="13"/>
  <c r="K6" i="13"/>
  <c r="K7" i="13"/>
  <c r="K17" i="13"/>
  <c r="K13" i="13"/>
  <c r="E12" i="13"/>
  <c r="H12" i="13"/>
  <c r="O12" i="13" s="1"/>
  <c r="E5" i="13"/>
  <c r="H5" i="13"/>
  <c r="O5" i="13" s="1"/>
  <c r="E6" i="13"/>
  <c r="H6" i="13"/>
  <c r="O6" i="13" s="1"/>
  <c r="E7" i="13"/>
  <c r="H7" i="13"/>
  <c r="E8" i="13"/>
  <c r="H8" i="13"/>
  <c r="E9" i="13"/>
  <c r="H9" i="13"/>
  <c r="E10" i="13"/>
  <c r="H10" i="13"/>
  <c r="E13" i="13"/>
  <c r="H13" i="13"/>
  <c r="E14" i="13"/>
  <c r="H14" i="13"/>
  <c r="O14" i="13" s="1"/>
  <c r="E15" i="13"/>
  <c r="H15" i="13"/>
  <c r="E16" i="13"/>
  <c r="H16" i="13"/>
  <c r="E17" i="13"/>
  <c r="H17" i="13"/>
  <c r="E18" i="13"/>
  <c r="H18" i="13"/>
  <c r="E19" i="13"/>
  <c r="H19" i="13"/>
  <c r="O19" i="13" s="1"/>
  <c r="E21" i="13"/>
  <c r="H21" i="13"/>
  <c r="N11" i="47"/>
  <c r="K11" i="47"/>
  <c r="H11" i="47"/>
  <c r="E11" i="47"/>
  <c r="N10" i="47"/>
  <c r="K10" i="47"/>
  <c r="H10" i="47"/>
  <c r="E10" i="47"/>
  <c r="N9" i="47"/>
  <c r="K9" i="47"/>
  <c r="H9" i="47"/>
  <c r="E9" i="47"/>
  <c r="N8" i="47"/>
  <c r="K8" i="47"/>
  <c r="H8" i="47"/>
  <c r="E8" i="47"/>
  <c r="N7" i="47"/>
  <c r="K7" i="47"/>
  <c r="H7" i="47"/>
  <c r="E7" i="47"/>
  <c r="N6" i="47"/>
  <c r="K6" i="47"/>
  <c r="H6" i="47"/>
  <c r="E6" i="47"/>
  <c r="N5" i="47"/>
  <c r="K5" i="47"/>
  <c r="H5" i="47"/>
  <c r="E5" i="47"/>
  <c r="N4" i="47"/>
  <c r="K4" i="47"/>
  <c r="H4" i="47"/>
  <c r="E4" i="47"/>
  <c r="R11" i="47" s="1"/>
  <c r="S11" i="47" s="1"/>
  <c r="E5" i="45"/>
  <c r="E9" i="45"/>
  <c r="E10" i="45"/>
  <c r="E14" i="45"/>
  <c r="E6" i="45"/>
  <c r="E15" i="45"/>
  <c r="E20" i="45"/>
  <c r="E8" i="45"/>
  <c r="E19" i="45"/>
  <c r="E18" i="45"/>
  <c r="E21" i="45"/>
  <c r="E16" i="45"/>
  <c r="E13" i="45"/>
  <c r="E7" i="45"/>
  <c r="E17" i="45"/>
  <c r="E12" i="44"/>
  <c r="E17" i="44"/>
  <c r="E20" i="44"/>
  <c r="E10" i="44"/>
  <c r="E9" i="44"/>
  <c r="E5" i="44"/>
  <c r="E8" i="44"/>
  <c r="E14" i="44"/>
  <c r="E19" i="44"/>
  <c r="E6" i="44"/>
  <c r="E15" i="44"/>
  <c r="E21" i="44"/>
  <c r="E18" i="44"/>
  <c r="E16" i="44"/>
  <c r="E13" i="44"/>
  <c r="E7" i="44"/>
  <c r="D17" i="43"/>
  <c r="D7" i="43"/>
  <c r="D5" i="43"/>
  <c r="D6" i="43"/>
  <c r="D12" i="43"/>
  <c r="D21" i="43"/>
  <c r="D9" i="43"/>
  <c r="D8" i="43"/>
  <c r="D14" i="43"/>
  <c r="D18" i="43"/>
  <c r="D15" i="43"/>
  <c r="D19" i="43"/>
  <c r="D20" i="43"/>
  <c r="D10" i="43"/>
  <c r="D16" i="43"/>
  <c r="D13" i="43"/>
  <c r="D16" i="11"/>
  <c r="D10" i="11"/>
  <c r="D20" i="11"/>
  <c r="D19" i="11"/>
  <c r="D15" i="11"/>
  <c r="D18" i="11"/>
  <c r="D14" i="11"/>
  <c r="D8" i="11"/>
  <c r="D9" i="11"/>
  <c r="D21" i="11"/>
  <c r="D12" i="11"/>
  <c r="D6" i="11"/>
  <c r="D5" i="11"/>
  <c r="D7" i="11"/>
  <c r="D17" i="11"/>
  <c r="D13" i="11"/>
  <c r="E19" i="42"/>
  <c r="E12" i="42"/>
  <c r="E9" i="42"/>
  <c r="E20" i="42"/>
  <c r="E6" i="42"/>
  <c r="E14" i="42"/>
  <c r="E8" i="42"/>
  <c r="E10" i="42"/>
  <c r="E7" i="42"/>
  <c r="E16" i="42"/>
  <c r="E15" i="42"/>
  <c r="E21" i="42"/>
  <c r="E5" i="42"/>
  <c r="E18" i="42"/>
  <c r="E17" i="42"/>
  <c r="E13" i="42"/>
  <c r="E17" i="9"/>
  <c r="E18" i="9"/>
  <c r="E5" i="9"/>
  <c r="E21" i="9"/>
  <c r="E8" i="9"/>
  <c r="E15" i="9"/>
  <c r="E16" i="9"/>
  <c r="E7" i="9"/>
  <c r="E10" i="9"/>
  <c r="E14" i="9"/>
  <c r="E9" i="9"/>
  <c r="E6" i="9"/>
  <c r="E20" i="9"/>
  <c r="E12" i="9"/>
  <c r="E19" i="9"/>
  <c r="E13" i="9"/>
  <c r="E9" i="41"/>
  <c r="E4" i="41"/>
  <c r="E21" i="41"/>
  <c r="E20" i="41"/>
  <c r="E19" i="41"/>
  <c r="E18" i="41"/>
  <c r="E16" i="41"/>
  <c r="E15" i="41"/>
  <c r="E14" i="41"/>
  <c r="E13" i="41"/>
  <c r="E10" i="41"/>
  <c r="E8" i="41"/>
  <c r="E7" i="41"/>
  <c r="E6" i="41"/>
  <c r="E5" i="41"/>
  <c r="D9" i="40"/>
  <c r="D4" i="40"/>
  <c r="D21" i="40"/>
  <c r="D20" i="40"/>
  <c r="D19" i="40"/>
  <c r="D18" i="40"/>
  <c r="D17" i="40"/>
  <c r="D16" i="40"/>
  <c r="D15" i="40"/>
  <c r="D14" i="40"/>
  <c r="D13" i="40"/>
  <c r="D10" i="40"/>
  <c r="D8" i="40"/>
  <c r="D7" i="40"/>
  <c r="D6" i="40"/>
  <c r="D5" i="40"/>
  <c r="D7" i="15"/>
  <c r="D8" i="15"/>
  <c r="D10" i="15"/>
  <c r="D13" i="15"/>
  <c r="D14" i="15"/>
  <c r="D15" i="15"/>
  <c r="D16" i="15"/>
  <c r="D17" i="15"/>
  <c r="D18" i="15"/>
  <c r="D19" i="15"/>
  <c r="D20" i="15"/>
  <c r="D21" i="15"/>
  <c r="D4" i="15"/>
  <c r="D9" i="15"/>
  <c r="D5" i="15"/>
  <c r="E16" i="39"/>
  <c r="E9" i="39"/>
  <c r="E12" i="39"/>
  <c r="E13" i="39"/>
  <c r="E4" i="39"/>
  <c r="E18" i="39"/>
  <c r="E6" i="39"/>
  <c r="E14" i="39"/>
  <c r="E11" i="39"/>
  <c r="E8" i="39"/>
  <c r="E5" i="39"/>
  <c r="E10" i="39"/>
  <c r="E7" i="39"/>
  <c r="E15" i="39"/>
  <c r="E17" i="39"/>
  <c r="E19" i="39"/>
  <c r="C22" i="38"/>
  <c r="C21" i="38"/>
  <c r="C20" i="38"/>
  <c r="C19" i="38"/>
  <c r="C18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C4" i="38"/>
  <c r="C17" i="7"/>
  <c r="C21" i="7"/>
  <c r="C7" i="7"/>
  <c r="C12" i="7"/>
  <c r="C16" i="7"/>
  <c r="C4" i="7"/>
  <c r="C5" i="7"/>
  <c r="C18" i="7"/>
  <c r="C20" i="7"/>
  <c r="C11" i="7"/>
  <c r="C6" i="7"/>
  <c r="C10" i="7"/>
  <c r="C14" i="7"/>
  <c r="C9" i="7"/>
  <c r="C8" i="7"/>
  <c r="C19" i="7"/>
  <c r="C22" i="7"/>
  <c r="C15" i="7"/>
  <c r="H22" i="12"/>
  <c r="F7" i="12"/>
  <c r="H7" i="12" s="1"/>
  <c r="F4" i="12"/>
  <c r="H4" i="12" s="1"/>
  <c r="F11" i="12"/>
  <c r="H11" i="12" s="1"/>
  <c r="F13" i="12"/>
  <c r="H13" i="12" s="1"/>
  <c r="F19" i="12"/>
  <c r="H19" i="12" s="1"/>
  <c r="F18" i="12"/>
  <c r="H18" i="12" s="1"/>
  <c r="F8" i="12"/>
  <c r="H8" i="12" s="1"/>
  <c r="F12" i="12"/>
  <c r="H12" i="12" s="1"/>
  <c r="F20" i="12"/>
  <c r="H20" i="12" s="1"/>
  <c r="F5" i="12"/>
  <c r="H5" i="12" s="1"/>
  <c r="F10" i="12"/>
  <c r="H10" i="12" s="1"/>
  <c r="F16" i="12"/>
  <c r="H16" i="12" s="1"/>
  <c r="F15" i="12"/>
  <c r="H15" i="12" s="1"/>
  <c r="F17" i="12"/>
  <c r="H17" i="12" s="1"/>
  <c r="F14" i="12"/>
  <c r="H14" i="12" s="1"/>
  <c r="F6" i="12"/>
  <c r="H6" i="12" s="1"/>
  <c r="F9" i="12"/>
  <c r="H9" i="12" s="1"/>
  <c r="F21" i="12"/>
  <c r="H21" i="12" s="1"/>
  <c r="D7" i="12"/>
  <c r="D4" i="12"/>
  <c r="D11" i="12"/>
  <c r="D13" i="12"/>
  <c r="D19" i="12"/>
  <c r="D18" i="12"/>
  <c r="D8" i="12"/>
  <c r="D12" i="12"/>
  <c r="D6" i="12"/>
  <c r="D9" i="12"/>
  <c r="F17" i="44" l="1"/>
  <c r="H17" i="44" s="1"/>
  <c r="F4" i="45"/>
  <c r="H4" i="45" s="1"/>
  <c r="F17" i="49"/>
  <c r="H17" i="49" s="1"/>
  <c r="F5" i="41"/>
  <c r="H5" i="41" s="1"/>
  <c r="F14" i="49"/>
  <c r="H14" i="49" s="1"/>
  <c r="F12" i="49"/>
  <c r="H12" i="49" s="1"/>
  <c r="F8" i="49"/>
  <c r="H8" i="49" s="1"/>
  <c r="F16" i="49"/>
  <c r="H16" i="49" s="1"/>
  <c r="F11" i="49"/>
  <c r="H11" i="49" s="1"/>
  <c r="F5" i="49"/>
  <c r="H5" i="49" s="1"/>
  <c r="F20" i="49"/>
  <c r="H20" i="49" s="1"/>
  <c r="F7" i="49"/>
  <c r="H7" i="49" s="1"/>
  <c r="F15" i="49"/>
  <c r="H15" i="49" s="1"/>
  <c r="F4" i="49"/>
  <c r="H4" i="49" s="1"/>
  <c r="F10" i="49"/>
  <c r="H10" i="49" s="1"/>
  <c r="F13" i="49"/>
  <c r="H13" i="49" s="1"/>
  <c r="F21" i="49"/>
  <c r="H21" i="49" s="1"/>
  <c r="F6" i="49"/>
  <c r="H6" i="49" s="1"/>
  <c r="F9" i="49"/>
  <c r="H9" i="49" s="1"/>
  <c r="F18" i="49"/>
  <c r="H18" i="49" s="1"/>
  <c r="F19" i="49"/>
  <c r="H19" i="49" s="1"/>
  <c r="F13" i="39"/>
  <c r="H13" i="39" s="1"/>
  <c r="F16" i="39"/>
  <c r="H16" i="39" s="1"/>
  <c r="F19" i="39"/>
  <c r="H19" i="39" s="1"/>
  <c r="F22" i="39"/>
  <c r="H22" i="39" s="1"/>
  <c r="F20" i="39"/>
  <c r="H20" i="39" s="1"/>
  <c r="F21" i="39"/>
  <c r="H21" i="39" s="1"/>
  <c r="F17" i="39"/>
  <c r="H17" i="39" s="1"/>
  <c r="F15" i="39"/>
  <c r="H15" i="39" s="1"/>
  <c r="F7" i="39"/>
  <c r="H7" i="39" s="1"/>
  <c r="F9" i="39"/>
  <c r="H9" i="39" s="1"/>
  <c r="F10" i="39"/>
  <c r="H10" i="39" s="1"/>
  <c r="F5" i="39"/>
  <c r="H5" i="39" s="1"/>
  <c r="F8" i="39"/>
  <c r="F11" i="39"/>
  <c r="F14" i="39"/>
  <c r="F6" i="39"/>
  <c r="F18" i="39"/>
  <c r="F12" i="39"/>
  <c r="F4" i="39"/>
  <c r="L16" i="13"/>
  <c r="M16" i="13" s="1"/>
  <c r="N16" i="13" s="1"/>
  <c r="L13" i="13"/>
  <c r="M13" i="13" s="1"/>
  <c r="N13" i="13" s="1"/>
  <c r="L17" i="13"/>
  <c r="M17" i="13" s="1"/>
  <c r="N17" i="13" s="1"/>
  <c r="L7" i="13"/>
  <c r="M7" i="13" s="1"/>
  <c r="N7" i="13" s="1"/>
  <c r="L5" i="13"/>
  <c r="M5" i="13" s="1"/>
  <c r="N5" i="13" s="1"/>
  <c r="L6" i="13"/>
  <c r="M6" i="13" s="1"/>
  <c r="N6" i="13" s="1"/>
  <c r="L12" i="13"/>
  <c r="M12" i="13" s="1"/>
  <c r="L21" i="13"/>
  <c r="M21" i="13" s="1"/>
  <c r="N21" i="13" s="1"/>
  <c r="L9" i="13"/>
  <c r="M9" i="13" s="1"/>
  <c r="N9" i="13" s="1"/>
  <c r="L8" i="13"/>
  <c r="M8" i="13" s="1"/>
  <c r="N8" i="13" s="1"/>
  <c r="L14" i="13"/>
  <c r="M14" i="13" s="1"/>
  <c r="N14" i="13" s="1"/>
  <c r="L18" i="13"/>
  <c r="M18" i="13" s="1"/>
  <c r="N18" i="13" s="1"/>
  <c r="L15" i="13"/>
  <c r="M15" i="13" s="1"/>
  <c r="N15" i="13" s="1"/>
  <c r="L19" i="13"/>
  <c r="M19" i="13" s="1"/>
  <c r="L10" i="13"/>
  <c r="M10" i="13" s="1"/>
  <c r="N10" i="13" s="1"/>
  <c r="R4" i="47"/>
  <c r="S4" i="47" s="1"/>
  <c r="R5" i="47"/>
  <c r="S5" i="47" s="1"/>
  <c r="R6" i="47"/>
  <c r="S6" i="47" s="1"/>
  <c r="R7" i="47"/>
  <c r="S7" i="47" s="1"/>
  <c r="R8" i="47"/>
  <c r="S8" i="47" s="1"/>
  <c r="R9" i="47"/>
  <c r="S9" i="47" s="1"/>
  <c r="R10" i="47"/>
  <c r="S10" i="47" s="1"/>
  <c r="F6" i="41"/>
  <c r="F22" i="41"/>
  <c r="F8" i="41"/>
  <c r="F10" i="41"/>
  <c r="H10" i="41" s="1"/>
  <c r="F13" i="41"/>
  <c r="F14" i="41"/>
  <c r="H14" i="41" s="1"/>
  <c r="F15" i="41"/>
  <c r="F16" i="41"/>
  <c r="H16" i="41" s="1"/>
  <c r="F18" i="41"/>
  <c r="F19" i="41"/>
  <c r="F20" i="41"/>
  <c r="F21" i="41"/>
  <c r="F4" i="41"/>
  <c r="F9" i="41"/>
  <c r="F7" i="45"/>
  <c r="H7" i="45" s="1"/>
  <c r="F13" i="45"/>
  <c r="H13" i="45" s="1"/>
  <c r="F16" i="45"/>
  <c r="H16" i="45" s="1"/>
  <c r="F21" i="45"/>
  <c r="H21" i="45" s="1"/>
  <c r="F18" i="45"/>
  <c r="H18" i="45" s="1"/>
  <c r="F19" i="45"/>
  <c r="H19" i="45" s="1"/>
  <c r="F8" i="45"/>
  <c r="H8" i="45" s="1"/>
  <c r="F20" i="45"/>
  <c r="H20" i="45" s="1"/>
  <c r="F15" i="45"/>
  <c r="H15" i="45" s="1"/>
  <c r="F6" i="45"/>
  <c r="H6" i="45" s="1"/>
  <c r="F14" i="45"/>
  <c r="H14" i="45" s="1"/>
  <c r="F10" i="45"/>
  <c r="H10" i="45" s="1"/>
  <c r="F9" i="45"/>
  <c r="H9" i="45" s="1"/>
  <c r="F12" i="45"/>
  <c r="H12" i="45" s="1"/>
  <c r="F5" i="45"/>
  <c r="H5" i="45" s="1"/>
  <c r="F17" i="45"/>
  <c r="H17" i="45" s="1"/>
  <c r="F22" i="45"/>
  <c r="H22" i="45" s="1"/>
  <c r="F11" i="45"/>
  <c r="H11" i="45" s="1"/>
  <c r="F7" i="44"/>
  <c r="F13" i="44"/>
  <c r="H13" i="44" s="1"/>
  <c r="F16" i="44"/>
  <c r="H16" i="44" s="1"/>
  <c r="F18" i="44"/>
  <c r="H18" i="44" s="1"/>
  <c r="F21" i="44"/>
  <c r="H21" i="44" s="1"/>
  <c r="F15" i="44"/>
  <c r="H15" i="44" s="1"/>
  <c r="F6" i="44"/>
  <c r="H6" i="44" s="1"/>
  <c r="F19" i="44"/>
  <c r="H19" i="44" s="1"/>
  <c r="F14" i="44"/>
  <c r="H14" i="44" s="1"/>
  <c r="F8" i="44"/>
  <c r="H8" i="44" s="1"/>
  <c r="F4" i="44"/>
  <c r="H4" i="44" s="1"/>
  <c r="F5" i="44"/>
  <c r="H5" i="44" s="1"/>
  <c r="F9" i="44"/>
  <c r="H9" i="44" s="1"/>
  <c r="F10" i="44"/>
  <c r="H10" i="44" s="1"/>
  <c r="F20" i="44"/>
  <c r="H20" i="44" s="1"/>
  <c r="H7" i="44"/>
  <c r="F22" i="44"/>
  <c r="H22" i="44" s="1"/>
  <c r="F11" i="44"/>
  <c r="H11" i="44" s="1"/>
  <c r="F12" i="44"/>
  <c r="H12" i="44" s="1"/>
  <c r="F17" i="41"/>
  <c r="F7" i="41"/>
  <c r="H7" i="41" s="1"/>
  <c r="F12" i="41"/>
  <c r="H12" i="41" s="1"/>
  <c r="F11" i="41"/>
  <c r="H22" i="41"/>
  <c r="H8" i="41"/>
  <c r="H13" i="41"/>
  <c r="H15" i="41"/>
  <c r="H17" i="41"/>
  <c r="H18" i="41"/>
  <c r="H19" i="41"/>
  <c r="H20" i="41"/>
  <c r="H21" i="41"/>
  <c r="H4" i="41"/>
  <c r="H9" i="41"/>
  <c r="H6" i="41"/>
  <c r="H11" i="41"/>
  <c r="H8" i="39"/>
  <c r="H11" i="39"/>
  <c r="H14" i="39"/>
  <c r="H6" i="39"/>
  <c r="H18" i="39"/>
  <c r="H12" i="39"/>
  <c r="H4" i="39"/>
  <c r="C13" i="8"/>
  <c r="C12" i="8"/>
  <c r="C11" i="8"/>
  <c r="C10" i="8"/>
  <c r="C9" i="8"/>
  <c r="C8" i="8"/>
  <c r="C7" i="8"/>
  <c r="C6" i="8"/>
  <c r="C5" i="8"/>
  <c r="C12" i="32"/>
  <c r="C11" i="32"/>
  <c r="C10" i="32"/>
  <c r="C9" i="32"/>
  <c r="C8" i="32"/>
  <c r="C7" i="32"/>
  <c r="C6" i="32"/>
  <c r="C4" i="32"/>
  <c r="G15" i="3"/>
  <c r="G7" i="3"/>
  <c r="G17" i="3"/>
  <c r="G13" i="3"/>
  <c r="G21" i="3"/>
  <c r="G6" i="3"/>
  <c r="G16" i="3"/>
  <c r="G18" i="3"/>
  <c r="D13" i="5"/>
  <c r="D12" i="5"/>
  <c r="D4" i="5"/>
  <c r="D5" i="5"/>
  <c r="D6" i="5"/>
  <c r="D7" i="5"/>
  <c r="F7" i="5" s="1"/>
  <c r="D8" i="5"/>
  <c r="D9" i="5"/>
  <c r="D10" i="5"/>
  <c r="D11" i="5"/>
  <c r="F11" i="5" s="1"/>
  <c r="Q5" i="6"/>
  <c r="D18" i="6" s="1"/>
  <c r="D22" i="6"/>
  <c r="D14" i="33"/>
  <c r="D9" i="33"/>
  <c r="D4" i="33"/>
  <c r="D5" i="33"/>
  <c r="D6" i="33"/>
  <c r="D7" i="33"/>
  <c r="F7" i="33" s="1"/>
  <c r="D8" i="33"/>
  <c r="D14" i="12"/>
  <c r="D17" i="12"/>
  <c r="D15" i="12"/>
  <c r="D16" i="12"/>
  <c r="D10" i="12"/>
  <c r="D5" i="12"/>
  <c r="D22" i="12"/>
  <c r="C13" i="7"/>
  <c r="C13" i="29"/>
  <c r="C12" i="29"/>
  <c r="C11" i="29"/>
  <c r="C10" i="29"/>
  <c r="C9" i="29"/>
  <c r="C8" i="29"/>
  <c r="C7" i="29"/>
  <c r="C6" i="29"/>
  <c r="C5" i="29"/>
  <c r="C4" i="29"/>
  <c r="D14" i="31"/>
  <c r="D12" i="31"/>
  <c r="D4" i="31"/>
  <c r="D5" i="31"/>
  <c r="D6" i="31"/>
  <c r="E6" i="31" s="1"/>
  <c r="D7" i="31"/>
  <c r="D8" i="31"/>
  <c r="D9" i="31"/>
  <c r="D10" i="31"/>
  <c r="D11" i="31"/>
  <c r="J10" i="31"/>
  <c r="J9" i="31"/>
  <c r="E8" i="31"/>
  <c r="D14" i="36"/>
  <c r="D12" i="36"/>
  <c r="D4" i="36"/>
  <c r="D5" i="36"/>
  <c r="D6" i="36"/>
  <c r="D7" i="36"/>
  <c r="F6" i="36" s="1"/>
  <c r="D8" i="36"/>
  <c r="D9" i="36"/>
  <c r="D10" i="36"/>
  <c r="F10" i="36" s="1"/>
  <c r="D11" i="36"/>
  <c r="F9" i="33" l="1"/>
  <c r="E5" i="31"/>
  <c r="E4" i="31"/>
  <c r="G4" i="31" s="1"/>
  <c r="F8" i="36"/>
  <c r="F4" i="36"/>
  <c r="E7" i="31"/>
  <c r="E12" i="31"/>
  <c r="D6" i="6"/>
  <c r="F9" i="5"/>
  <c r="F5" i="33"/>
  <c r="H18" i="6"/>
  <c r="D9" i="6"/>
  <c r="F5" i="5"/>
  <c r="D11" i="6"/>
  <c r="H14" i="6"/>
  <c r="H16" i="6"/>
  <c r="H6" i="6"/>
  <c r="H11" i="6"/>
  <c r="H20" i="6"/>
  <c r="H17" i="6"/>
  <c r="D8" i="6"/>
  <c r="D7" i="6"/>
  <c r="D10" i="6"/>
  <c r="H22" i="6"/>
  <c r="K22" i="6" s="1"/>
  <c r="H9" i="6"/>
  <c r="H19" i="6"/>
  <c r="H8" i="6"/>
  <c r="H7" i="6"/>
  <c r="H10" i="6"/>
  <c r="D20" i="6"/>
  <c r="D17" i="6"/>
  <c r="F11" i="36"/>
  <c r="H17" i="3"/>
  <c r="H13" i="3"/>
  <c r="H21" i="3"/>
  <c r="H6" i="3"/>
  <c r="H16" i="3"/>
  <c r="H18" i="3"/>
  <c r="H15" i="3"/>
  <c r="H19" i="3"/>
  <c r="H5" i="3"/>
  <c r="H8" i="3"/>
  <c r="H9" i="3"/>
  <c r="H10" i="3"/>
  <c r="H7" i="3"/>
  <c r="F12" i="36"/>
  <c r="E10" i="31"/>
  <c r="K9" i="6"/>
  <c r="K18" i="6"/>
  <c r="F10" i="5"/>
  <c r="F12" i="5"/>
  <c r="F8" i="33"/>
  <c r="F5" i="36"/>
  <c r="F7" i="36"/>
  <c r="F9" i="36"/>
  <c r="E11" i="31"/>
  <c r="E9" i="31"/>
  <c r="F4" i="33"/>
  <c r="F6" i="33"/>
  <c r="D19" i="6"/>
  <c r="D16" i="6"/>
  <c r="D14" i="6"/>
  <c r="F14" i="6" s="1"/>
  <c r="F4" i="5"/>
  <c r="F6" i="5"/>
  <c r="F8" i="5"/>
  <c r="K17" i="6" l="1"/>
  <c r="J10" i="6"/>
  <c r="K20" i="6"/>
  <c r="J7" i="6"/>
  <c r="J19" i="6"/>
  <c r="J22" i="6"/>
  <c r="K7" i="6"/>
  <c r="J17" i="6"/>
  <c r="J11" i="6"/>
  <c r="J16" i="6"/>
  <c r="J8" i="6"/>
  <c r="J9" i="6"/>
  <c r="K10" i="6"/>
  <c r="K8" i="6"/>
  <c r="J20" i="6"/>
  <c r="J6" i="6"/>
  <c r="J14" i="6"/>
  <c r="J18" i="6"/>
  <c r="F16" i="6"/>
  <c r="F19" i="6"/>
  <c r="F8" i="6"/>
  <c r="F10" i="6"/>
  <c r="F20" i="6"/>
  <c r="F17" i="6"/>
  <c r="F7" i="6"/>
  <c r="F11" i="6"/>
  <c r="F18" i="6"/>
  <c r="F22" i="6"/>
  <c r="F9" i="6"/>
  <c r="F6" i="6"/>
  <c r="K14" i="6"/>
  <c r="K16" i="6"/>
  <c r="K19" i="6"/>
  <c r="K6" i="6"/>
  <c r="K11" i="6"/>
  <c r="L11" i="6" l="1"/>
  <c r="M11" i="6" s="1"/>
  <c r="L6" i="6"/>
  <c r="L10" i="6"/>
  <c r="L17" i="6"/>
  <c r="L7" i="6"/>
  <c r="L20" i="6"/>
  <c r="L8" i="6"/>
  <c r="L19" i="6"/>
  <c r="M19" i="6" s="1"/>
  <c r="L16" i="6"/>
  <c r="M16" i="6" s="1"/>
  <c r="L14" i="6"/>
  <c r="M14" i="6" s="1"/>
  <c r="L9" i="6"/>
  <c r="L22" i="6"/>
  <c r="M22" i="6" s="1"/>
  <c r="L18" i="6"/>
  <c r="M6" i="6"/>
  <c r="M9" i="6"/>
  <c r="M10" i="6"/>
  <c r="M17" i="6"/>
  <c r="M7" i="6"/>
  <c r="M20" i="6"/>
  <c r="M8" i="6"/>
  <c r="M18" i="6"/>
  <c r="P3" i="6" l="1"/>
  <c r="N9" i="6" s="1"/>
  <c r="N6" i="6"/>
  <c r="N14" i="6"/>
  <c r="N16" i="6"/>
  <c r="N11" i="6"/>
  <c r="N10" i="6"/>
  <c r="N17" i="6"/>
  <c r="N20" i="6"/>
  <c r="N8" i="6"/>
  <c r="N18" i="6"/>
  <c r="N22" i="6" l="1"/>
  <c r="N7" i="6"/>
  <c r="N19" i="6"/>
</calcChain>
</file>

<file path=xl/sharedStrings.xml><?xml version="1.0" encoding="utf-8"?>
<sst xmlns="http://schemas.openxmlformats.org/spreadsheetml/2006/main" count="939" uniqueCount="173">
  <si>
    <t>Penalties (points)</t>
  </si>
  <si>
    <t>1st control time after (min:sec)</t>
  </si>
  <si>
    <t>2nd control time after (min:sec)</t>
  </si>
  <si>
    <t>Total time</t>
  </si>
  <si>
    <t>Navigation points</t>
  </si>
  <si>
    <t>Navigation score</t>
  </si>
  <si>
    <t>Total</t>
  </si>
  <si>
    <t>Economy score</t>
  </si>
  <si>
    <t>Y</t>
    <phoneticPr fontId="28" type="noConversion"/>
  </si>
  <si>
    <t>Pilots</t>
  </si>
  <si>
    <t>Māris Vancāns</t>
  </si>
  <si>
    <t>Punkti par uzdevumu</t>
  </si>
  <si>
    <t>Punkti</t>
  </si>
  <si>
    <t>Q</t>
  </si>
  <si>
    <t>Eight</t>
  </si>
  <si>
    <t>Fast/Slow</t>
  </si>
  <si>
    <t>Distance (metri)</t>
  </si>
  <si>
    <t>Starpība</t>
  </si>
  <si>
    <t>1 km koef.</t>
  </si>
  <si>
    <t>1.daļa</t>
  </si>
  <si>
    <t>2.daļa</t>
  </si>
  <si>
    <t>Pilot</t>
  </si>
  <si>
    <t>Points</t>
  </si>
  <si>
    <t>Number of tries</t>
  </si>
  <si>
    <t>Precision landing</t>
  </si>
  <si>
    <t>From center (cm)</t>
  </si>
  <si>
    <t>FAST</t>
  </si>
  <si>
    <t>SLOW</t>
  </si>
  <si>
    <t>Penalty</t>
  </si>
  <si>
    <t>Fast start</t>
  </si>
  <si>
    <t>Roberts Onkelis</t>
  </si>
  <si>
    <t>Atis Garklāvs</t>
  </si>
  <si>
    <t>Laika norma</t>
  </si>
  <si>
    <t>stunda</t>
  </si>
  <si>
    <t>Economy</t>
  </si>
  <si>
    <t>punkti</t>
  </si>
  <si>
    <t>DNF</t>
  </si>
  <si>
    <t xml:space="preserve"> 1.3</t>
  </si>
  <si>
    <t xml:space="preserve"> 2.1</t>
  </si>
  <si>
    <t xml:space="preserve"> 2.2</t>
  </si>
  <si>
    <t xml:space="preserve"> 3.3</t>
  </si>
  <si>
    <t xml:space="preserve"> 4.2</t>
  </si>
  <si>
    <t>frame</t>
  </si>
  <si>
    <t>DNS</t>
  </si>
  <si>
    <t>6th stick</t>
  </si>
  <si>
    <t>Time (sec)</t>
  </si>
  <si>
    <t>Speed (km/h)</t>
  </si>
  <si>
    <t>Speed difference</t>
  </si>
  <si>
    <t>TOTAL points</t>
  </si>
  <si>
    <t>Take off time (sec)</t>
  </si>
  <si>
    <t>Sticks</t>
  </si>
  <si>
    <t>Bowlings</t>
  </si>
  <si>
    <t>TOTAL</t>
  </si>
  <si>
    <t>After normalization</t>
  </si>
  <si>
    <t>Valters Roms</t>
  </si>
  <si>
    <t>Sergey Usanov</t>
  </si>
  <si>
    <t>Harri Teras</t>
  </si>
  <si>
    <t>Raimondas Pundinas</t>
  </si>
  <si>
    <t>Mindaugas Skryodys</t>
  </si>
  <si>
    <t>Mantas Sakaitis</t>
  </si>
  <si>
    <t>Dmitrij Aneičik</t>
  </si>
  <si>
    <t>Paulius Burčikas</t>
  </si>
  <si>
    <t>Clear start I</t>
  </si>
  <si>
    <t>Clear start II</t>
  </si>
  <si>
    <t>0-0,25=250</t>
  </si>
  <si>
    <t>1-2,00=175</t>
  </si>
  <si>
    <t>2-4,00=100</t>
  </si>
  <si>
    <t>3-6,50=50</t>
  </si>
  <si>
    <t>4-over 6,50=0</t>
  </si>
  <si>
    <t>Precision landing I</t>
  </si>
  <si>
    <t>Precision landing II</t>
  </si>
  <si>
    <t>Navigation I</t>
  </si>
  <si>
    <t>Triangle</t>
  </si>
  <si>
    <t>technical problems</t>
  </si>
  <si>
    <t>L</t>
  </si>
  <si>
    <t>3.2.</t>
  </si>
  <si>
    <t>Precision landing III</t>
  </si>
  <si>
    <t>Bouling landing II</t>
  </si>
  <si>
    <t>Y</t>
  </si>
  <si>
    <t>Start time</t>
  </si>
  <si>
    <t>Finish time</t>
  </si>
  <si>
    <t>1st control gate</t>
  </si>
  <si>
    <t>2nd control gate</t>
  </si>
  <si>
    <t>Penalties (time)</t>
  </si>
  <si>
    <t>Weight before</t>
  </si>
  <si>
    <t>Weight after</t>
  </si>
  <si>
    <t>Difference</t>
  </si>
  <si>
    <t>dead zone</t>
  </si>
  <si>
    <t>ja ir over the gate or wrong = max timing</t>
  </si>
  <si>
    <t>s</t>
  </si>
  <si>
    <t>wrong figure, missed gate - max score</t>
  </si>
  <si>
    <t>Attempt</t>
  </si>
  <si>
    <t>labots uz vidējo, zemāku</t>
  </si>
  <si>
    <t>pārbaudīts</t>
  </si>
  <si>
    <t>nav k</t>
  </si>
  <si>
    <t>kļūdu</t>
  </si>
  <si>
    <t>5 sec kļūda</t>
  </si>
  <si>
    <t>Sergey Usanov junior</t>
  </si>
  <si>
    <t>Outlanding</t>
  </si>
  <si>
    <t>Saulius Kavaliukas</t>
  </si>
  <si>
    <t>Arturas Judickas</t>
  </si>
  <si>
    <t>Darius Bacinskas</t>
  </si>
  <si>
    <t>Maris Vancans</t>
  </si>
  <si>
    <t>Justinas Duda</t>
  </si>
  <si>
    <t>Tomas Raibikis</t>
  </si>
  <si>
    <t>Raimundas Pundinas</t>
  </si>
  <si>
    <t>Vilmantas Petrusonis</t>
  </si>
  <si>
    <t>Dima Aneicik</t>
  </si>
  <si>
    <t>Audrus Kuzma</t>
  </si>
  <si>
    <t>Sergey Usanov senior</t>
  </si>
  <si>
    <t>Ernestas Kalabuckas</t>
  </si>
  <si>
    <t>Evaldas Rinkevicas</t>
  </si>
  <si>
    <t>Jonas Sakaitis</t>
  </si>
  <si>
    <t>Saulius Rudokas</t>
  </si>
  <si>
    <t xml:space="preserve"> 1.1</t>
  </si>
  <si>
    <t>Missed START/FINISH gate</t>
  </si>
  <si>
    <t>Start time (HH:MM)</t>
  </si>
  <si>
    <t>Finish time (HH:MM)</t>
  </si>
  <si>
    <t>Time (HH:MM)</t>
  </si>
  <si>
    <t>Points for the task</t>
  </si>
  <si>
    <t>Landed outside the deck</t>
  </si>
  <si>
    <t>Navigation points visited</t>
  </si>
  <si>
    <t>3-3b1</t>
  </si>
  <si>
    <t>Slalom 1</t>
  </si>
  <si>
    <t>Correctly rounded pylons</t>
  </si>
  <si>
    <t>Competition number</t>
  </si>
  <si>
    <t>Comp. NR.</t>
  </si>
  <si>
    <t>Touch point</t>
  </si>
  <si>
    <t>Slalom II</t>
  </si>
  <si>
    <t>3-4e1</t>
  </si>
  <si>
    <t>Take-off lenght (m)</t>
  </si>
  <si>
    <t>BOPC 2014</t>
  </si>
  <si>
    <t>1st warning! Incorrect starting procedure!</t>
  </si>
  <si>
    <t>Cage</t>
  </si>
  <si>
    <t>Turtle</t>
  </si>
  <si>
    <t>Cage.</t>
  </si>
  <si>
    <t>Both knees</t>
  </si>
  <si>
    <t>Cage. 1st warning, entered bowling task at red flag!</t>
  </si>
  <si>
    <t>1st warning! Entered bowling task at red flag!</t>
  </si>
  <si>
    <t>Slalom III</t>
  </si>
  <si>
    <t>Did not close the time</t>
  </si>
  <si>
    <t>4-5c1</t>
  </si>
  <si>
    <t>Slalom IV</t>
  </si>
  <si>
    <t>2-3e1</t>
  </si>
  <si>
    <t>Over gates at exit</t>
  </si>
  <si>
    <t>Landing zone</t>
  </si>
  <si>
    <t>Bowling landing I</t>
  </si>
  <si>
    <t>Bowling landing II</t>
  </si>
  <si>
    <t>Short take-off I</t>
  </si>
  <si>
    <t>Short take-off II</t>
  </si>
  <si>
    <t>Weight before (kg)</t>
  </si>
  <si>
    <t>Weight after (kg)</t>
  </si>
  <si>
    <t>Diff</t>
  </si>
  <si>
    <t>Penalties (1s = 1p)</t>
  </si>
  <si>
    <t>Target time for economy</t>
  </si>
  <si>
    <r>
      <t xml:space="preserve">Economy time penalty in </t>
    </r>
    <r>
      <rPr>
        <b/>
        <sz val="10"/>
        <color theme="1"/>
        <rFont val="Calibri"/>
        <family val="2"/>
        <charset val="186"/>
        <scheme val="minor"/>
      </rPr>
      <t>HH:MM:SS (x 60)</t>
    </r>
  </si>
  <si>
    <t>Total after normalisation</t>
  </si>
  <si>
    <t>Carousel</t>
  </si>
  <si>
    <t>Time (HH:MM:SS)</t>
  </si>
  <si>
    <t>Distance (km)</t>
  </si>
  <si>
    <t>Economy + Distance</t>
  </si>
  <si>
    <t>Slalom I</t>
  </si>
  <si>
    <t>Slalom V</t>
  </si>
  <si>
    <t>4-6d1</t>
  </si>
  <si>
    <t>Warning! Red flag!</t>
  </si>
  <si>
    <t>Japanese slalom</t>
  </si>
  <si>
    <t>Penalty (sec)</t>
  </si>
  <si>
    <t>Time with penalty</t>
  </si>
  <si>
    <t>Fast / Slow</t>
  </si>
  <si>
    <t>Cloverleaf</t>
  </si>
  <si>
    <t>Wrong turn!</t>
  </si>
  <si>
    <t>Slalom VI</t>
  </si>
  <si>
    <t>3-5e2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</si>
</sst>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.00000000000"/>
    <numFmt numFmtId="165" formatCode="0.0"/>
  </numFmts>
  <fonts count="3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rgb="FFFF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8"/>
      <name val="Verdana"/>
      <family val="2"/>
    </font>
    <font>
      <sz val="10"/>
      <color theme="1"/>
      <name val="Calibri"/>
      <family val="2"/>
      <charset val="186"/>
      <scheme val="minor"/>
    </font>
    <font>
      <b/>
      <sz val="10"/>
      <color rgb="FFFF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color rgb="FFFF0000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  <bgColor indexed="2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24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30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39" applyNumberFormat="0" applyAlignment="0" applyProtection="0"/>
    <xf numFmtId="0" fontId="11" fillId="8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40" applyNumberFormat="0" applyFill="0" applyAlignment="0" applyProtection="0"/>
    <xf numFmtId="0" fontId="15" fillId="22" borderId="41" applyNumberFormat="0" applyAlignment="0" applyProtection="0"/>
    <xf numFmtId="0" fontId="16" fillId="0" borderId="42" applyNumberFormat="0" applyFill="0" applyAlignment="0" applyProtection="0"/>
    <xf numFmtId="0" fontId="7" fillId="23" borderId="43" applyNumberFormat="0" applyAlignment="0" applyProtection="0"/>
    <xf numFmtId="0" fontId="17" fillId="24" borderId="0" applyNumberFormat="0" applyBorder="0" applyAlignment="0" applyProtection="0"/>
    <xf numFmtId="0" fontId="18" fillId="0" borderId="44" applyNumberFormat="0" applyFill="0" applyAlignment="0" applyProtection="0"/>
    <xf numFmtId="0" fontId="19" fillId="0" borderId="45" applyNumberFormat="0" applyFill="0" applyAlignment="0" applyProtection="0"/>
    <xf numFmtId="0" fontId="20" fillId="0" borderId="46" applyNumberFormat="0" applyFill="0" applyAlignment="0" applyProtection="0"/>
    <xf numFmtId="0" fontId="20" fillId="0" borderId="0" applyNumberFormat="0" applyFill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8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12" borderId="39" applyNumberFormat="0" applyAlignment="0" applyProtection="0"/>
    <xf numFmtId="0" fontId="23" fillId="21" borderId="47" applyNumberFormat="0" applyAlignment="0" applyProtection="0"/>
  </cellStyleXfs>
  <cellXfs count="346">
    <xf numFmtId="0" fontId="0" fillId="0" borderId="0" xfId="0"/>
    <xf numFmtId="0" fontId="1" fillId="2" borderId="18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1" fontId="0" fillId="0" borderId="11" xfId="0" applyNumberFormat="1" applyFont="1" applyBorder="1" applyAlignment="1">
      <alignment horizontal="center" vertical="center"/>
    </xf>
    <xf numFmtId="0" fontId="0" fillId="5" borderId="0" xfId="0" applyFont="1" applyFill="1"/>
    <xf numFmtId="0" fontId="1" fillId="0" borderId="0" xfId="0" applyFont="1" applyAlignment="1">
      <alignment horizontal="left" vertical="center"/>
    </xf>
    <xf numFmtId="16" fontId="0" fillId="0" borderId="0" xfId="0" applyNumberFormat="1" applyFont="1"/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0" fillId="0" borderId="0" xfId="1" applyFont="1"/>
    <xf numFmtId="0" fontId="1" fillId="2" borderId="28" xfId="0" applyFont="1" applyFill="1" applyBorder="1" applyAlignment="1">
      <alignment horizontal="center" vertical="center" wrapText="1"/>
    </xf>
    <xf numFmtId="9" fontId="0" fillId="0" borderId="23" xfId="2" applyFont="1" applyBorder="1" applyAlignment="1">
      <alignment horizontal="center" vertical="center"/>
    </xf>
    <xf numFmtId="9" fontId="0" fillId="0" borderId="24" xfId="2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6" xfId="0" applyFont="1" applyBorder="1"/>
    <xf numFmtId="0" fontId="0" fillId="0" borderId="8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2" fontId="0" fillId="0" borderId="32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12" xfId="0" applyNumberFormat="1" applyFont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" fontId="1" fillId="0" borderId="24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3" fontId="1" fillId="0" borderId="24" xfId="0" applyNumberFormat="1" applyFont="1" applyBorder="1" applyAlignment="1">
      <alignment horizontal="center" vertical="center"/>
    </xf>
    <xf numFmtId="0" fontId="0" fillId="0" borderId="22" xfId="0" applyFont="1" applyBorder="1"/>
    <xf numFmtId="0" fontId="1" fillId="2" borderId="27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wrapText="1"/>
    </xf>
    <xf numFmtId="0" fontId="0" fillId="0" borderId="0" xfId="0" applyFont="1" applyFill="1"/>
    <xf numFmtId="0" fontId="6" fillId="2" borderId="16" xfId="0" applyFont="1" applyFill="1" applyBorder="1" applyAlignment="1">
      <alignment horizontal="center" vertical="center" wrapText="1"/>
    </xf>
    <xf numFmtId="0" fontId="0" fillId="4" borderId="2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8" xfId="0" applyFont="1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4" borderId="4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4" borderId="0" xfId="0" applyFont="1" applyFill="1"/>
    <xf numFmtId="0" fontId="0" fillId="4" borderId="0" xfId="0" applyFont="1" applyFill="1" applyAlignment="1">
      <alignment horizontal="center" vertical="center"/>
    </xf>
    <xf numFmtId="164" fontId="0" fillId="4" borderId="0" xfId="0" applyNumberFormat="1" applyFont="1" applyFill="1"/>
    <xf numFmtId="0" fontId="24" fillId="4" borderId="1" xfId="0" applyFont="1" applyFill="1" applyBorder="1" applyAlignment="1">
      <alignment horizontal="center" vertical="center"/>
    </xf>
    <xf numFmtId="1" fontId="24" fillId="0" borderId="11" xfId="0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2" fontId="0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6" fontId="0" fillId="4" borderId="0" xfId="0" applyNumberFormat="1" applyFont="1" applyFill="1"/>
    <xf numFmtId="0" fontId="1" fillId="4" borderId="1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/>
    </xf>
    <xf numFmtId="1" fontId="1" fillId="4" borderId="30" xfId="0" applyNumberFormat="1" applyFont="1" applyFill="1" applyBorder="1" applyAlignment="1">
      <alignment horizontal="center" vertical="center"/>
    </xf>
    <xf numFmtId="0" fontId="0" fillId="4" borderId="0" xfId="0" applyFont="1" applyFill="1" applyAlignment="1">
      <alignment horizontal="left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0" fillId="0" borderId="0" xfId="0" applyFont="1" applyBorder="1"/>
    <xf numFmtId="1" fontId="2" fillId="0" borderId="11" xfId="0" applyNumberFormat="1" applyFont="1" applyBorder="1" applyAlignment="1">
      <alignment horizontal="center" vertical="center"/>
    </xf>
    <xf numFmtId="9" fontId="0" fillId="4" borderId="1" xfId="2" applyFont="1" applyFill="1" applyBorder="1" applyAlignment="1">
      <alignment horizontal="center" vertical="center"/>
    </xf>
    <xf numFmtId="0" fontId="0" fillId="29" borderId="0" xfId="0" applyFont="1" applyFill="1"/>
    <xf numFmtId="2" fontId="0" fillId="4" borderId="2" xfId="0" applyNumberFormat="1" applyFont="1" applyFill="1" applyBorder="1" applyAlignment="1">
      <alignment horizontal="center" vertical="center"/>
    </xf>
    <xf numFmtId="9" fontId="0" fillId="4" borderId="24" xfId="2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0" borderId="0" xfId="0" applyFont="1" applyFill="1"/>
    <xf numFmtId="0" fontId="2" fillId="4" borderId="34" xfId="0" applyFont="1" applyFill="1" applyBorder="1" applyAlignment="1">
      <alignment horizontal="center" vertical="center"/>
    </xf>
    <xf numFmtId="2" fontId="0" fillId="4" borderId="32" xfId="0" applyNumberFormat="1" applyFont="1" applyFill="1" applyBorder="1" applyAlignment="1">
      <alignment horizontal="center" vertical="center"/>
    </xf>
    <xf numFmtId="3" fontId="1" fillId="4" borderId="30" xfId="0" applyNumberFormat="1" applyFont="1" applyFill="1" applyBorder="1" applyAlignment="1">
      <alignment horizontal="center" vertical="center"/>
    </xf>
    <xf numFmtId="9" fontId="0" fillId="4" borderId="30" xfId="2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6" fillId="0" borderId="0" xfId="0" applyFont="1"/>
    <xf numFmtId="43" fontId="0" fillId="4" borderId="1" xfId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8" xfId="0" applyFont="1" applyFill="1" applyBorder="1"/>
    <xf numFmtId="0" fontId="0" fillId="0" borderId="1" xfId="0" applyFont="1" applyBorder="1" applyAlignment="1">
      <alignment horizontal="center"/>
    </xf>
    <xf numFmtId="0" fontId="0" fillId="0" borderId="24" xfId="0" applyBorder="1" applyAlignment="1">
      <alignment horizontal="center" vertical="center"/>
    </xf>
    <xf numFmtId="2" fontId="0" fillId="0" borderId="29" xfId="0" applyNumberFormat="1" applyFont="1" applyBorder="1" applyAlignment="1">
      <alignment horizontal="center" vertical="center"/>
    </xf>
    <xf numFmtId="10" fontId="0" fillId="0" borderId="0" xfId="0" applyNumberFormat="1" applyFont="1"/>
    <xf numFmtId="10" fontId="1" fillId="2" borderId="20" xfId="0" applyNumberFormat="1" applyFont="1" applyFill="1" applyBorder="1" applyAlignment="1">
      <alignment horizontal="center" vertical="center" wrapText="1"/>
    </xf>
    <xf numFmtId="10" fontId="0" fillId="0" borderId="23" xfId="2" applyNumberFormat="1" applyFont="1" applyBorder="1" applyAlignment="1">
      <alignment horizontal="center" vertical="center"/>
    </xf>
    <xf numFmtId="10" fontId="0" fillId="0" borderId="24" xfId="2" applyNumberFormat="1" applyFont="1" applyBorder="1" applyAlignment="1">
      <alignment horizontal="center" vertical="center"/>
    </xf>
    <xf numFmtId="10" fontId="0" fillId="29" borderId="0" xfId="0" applyNumberFormat="1" applyFont="1" applyFill="1"/>
    <xf numFmtId="0" fontId="27" fillId="0" borderId="0" xfId="0" applyFont="1" applyAlignment="1">
      <alignment horizontal="left"/>
    </xf>
    <xf numFmtId="0" fontId="0" fillId="31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9" fontId="0" fillId="0" borderId="24" xfId="2" applyNumberFormat="1" applyFont="1" applyBorder="1" applyAlignment="1">
      <alignment horizontal="center" vertical="center"/>
    </xf>
    <xf numFmtId="0" fontId="29" fillId="0" borderId="0" xfId="0" applyFont="1"/>
    <xf numFmtId="0" fontId="29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29" fillId="2" borderId="16" xfId="0" applyFont="1" applyFill="1" applyBorder="1" applyAlignment="1" applyProtection="1">
      <alignment horizontal="center" vertical="center" wrapText="1"/>
    </xf>
    <xf numFmtId="0" fontId="29" fillId="2" borderId="17" xfId="0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30" fillId="0" borderId="20" xfId="0" applyFont="1" applyBorder="1" applyAlignment="1" applyProtection="1">
      <alignment horizontal="center" vertical="center" wrapText="1"/>
    </xf>
    <xf numFmtId="20" fontId="29" fillId="4" borderId="37" xfId="0" applyNumberFormat="1" applyFont="1" applyFill="1" applyBorder="1" applyAlignment="1" applyProtection="1">
      <alignment horizontal="center" vertical="center"/>
      <protection locked="0"/>
    </xf>
    <xf numFmtId="20" fontId="29" fillId="4" borderId="29" xfId="0" applyNumberFormat="1" applyFont="1" applyFill="1" applyBorder="1" applyAlignment="1" applyProtection="1">
      <alignment horizontal="center" vertical="center"/>
      <protection locked="0"/>
    </xf>
    <xf numFmtId="20" fontId="29" fillId="4" borderId="29" xfId="0" applyNumberFormat="1" applyFont="1" applyFill="1" applyBorder="1" applyAlignment="1" applyProtection="1">
      <alignment horizontal="center" vertical="center"/>
    </xf>
    <xf numFmtId="0" fontId="31" fillId="0" borderId="37" xfId="0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" fontId="6" fillId="0" borderId="31" xfId="0" applyNumberFormat="1" applyFont="1" applyBorder="1" applyAlignment="1">
      <alignment horizontal="center" vertical="center"/>
    </xf>
    <xf numFmtId="20" fontId="32" fillId="3" borderId="20" xfId="0" applyNumberFormat="1" applyFont="1" applyFill="1" applyBorder="1" applyAlignment="1" applyProtection="1">
      <alignment horizontal="center" vertical="center"/>
      <protection locked="0"/>
    </xf>
    <xf numFmtId="20" fontId="32" fillId="3" borderId="0" xfId="0" applyNumberFormat="1" applyFont="1" applyFill="1" applyBorder="1" applyAlignment="1" applyProtection="1">
      <alignment horizontal="center" vertical="center"/>
      <protection locked="0"/>
    </xf>
    <xf numFmtId="20" fontId="29" fillId="4" borderId="7" xfId="0" applyNumberFormat="1" applyFont="1" applyFill="1" applyBorder="1" applyAlignment="1" applyProtection="1">
      <alignment horizontal="center" vertical="center"/>
      <protection locked="0"/>
    </xf>
    <xf numFmtId="20" fontId="29" fillId="4" borderId="1" xfId="0" applyNumberFormat="1" applyFont="1" applyFill="1" applyBorder="1" applyAlignment="1" applyProtection="1">
      <alignment horizontal="center" vertical="center"/>
      <protection locked="0"/>
    </xf>
    <xf numFmtId="20" fontId="29" fillId="4" borderId="1" xfId="0" applyNumberFormat="1" applyFont="1" applyFill="1" applyBorder="1" applyAlignment="1" applyProtection="1">
      <alignment horizontal="center" vertical="center"/>
    </xf>
    <xf numFmtId="0" fontId="31" fillId="0" borderId="7" xfId="0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29" fillId="5" borderId="0" xfId="0" applyFont="1" applyFill="1"/>
    <xf numFmtId="20" fontId="31" fillId="4" borderId="1" xfId="0" applyNumberFormat="1" applyFont="1" applyFill="1" applyBorder="1" applyAlignment="1" applyProtection="1">
      <alignment horizontal="center" vertical="center"/>
    </xf>
    <xf numFmtId="16" fontId="29" fillId="0" borderId="0" xfId="0" quotePrefix="1" applyNumberFormat="1" applyFont="1" applyAlignment="1">
      <alignment horizontal="center" vertical="center"/>
    </xf>
    <xf numFmtId="9" fontId="29" fillId="0" borderId="0" xfId="2" applyFont="1"/>
    <xf numFmtId="9" fontId="29" fillId="0" borderId="31" xfId="2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20" fontId="29" fillId="4" borderId="5" xfId="0" applyNumberFormat="1" applyFont="1" applyFill="1" applyBorder="1" applyAlignment="1" applyProtection="1">
      <alignment horizontal="center" vertical="center"/>
      <protection locked="0"/>
    </xf>
    <xf numFmtId="20" fontId="29" fillId="4" borderId="25" xfId="0" applyNumberFormat="1" applyFont="1" applyFill="1" applyBorder="1" applyAlignment="1" applyProtection="1">
      <alignment horizontal="center" vertical="center"/>
      <protection locked="0"/>
    </xf>
    <xf numFmtId="20" fontId="29" fillId="4" borderId="25" xfId="0" applyNumberFormat="1" applyFont="1" applyFill="1" applyBorder="1" applyAlignment="1" applyProtection="1">
      <alignment horizontal="center" vertical="center"/>
    </xf>
    <xf numFmtId="0" fontId="31" fillId="0" borderId="5" xfId="0" applyFont="1" applyBorder="1" applyAlignment="1">
      <alignment horizontal="center" vertical="center"/>
    </xf>
    <xf numFmtId="1" fontId="29" fillId="0" borderId="11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20" fontId="29" fillId="4" borderId="50" xfId="0" applyNumberFormat="1" applyFont="1" applyFill="1" applyBorder="1" applyAlignment="1" applyProtection="1">
      <alignment horizontal="center" vertical="center"/>
      <protection locked="0"/>
    </xf>
    <xf numFmtId="20" fontId="29" fillId="4" borderId="26" xfId="0" applyNumberFormat="1" applyFont="1" applyFill="1" applyBorder="1" applyAlignment="1" applyProtection="1">
      <alignment horizontal="center" vertical="center"/>
      <protection locked="0"/>
    </xf>
    <xf numFmtId="20" fontId="29" fillId="4" borderId="26" xfId="0" applyNumberFormat="1" applyFont="1" applyFill="1" applyBorder="1" applyAlignment="1" applyProtection="1">
      <alignment horizontal="center" vertical="center"/>
    </xf>
    <xf numFmtId="0" fontId="31" fillId="0" borderId="50" xfId="0" applyFont="1" applyBorder="1" applyAlignment="1">
      <alignment horizontal="center" vertical="center"/>
    </xf>
    <xf numFmtId="1" fontId="29" fillId="0" borderId="52" xfId="0" applyNumberFormat="1" applyFont="1" applyBorder="1" applyAlignment="1">
      <alignment horizontal="center" vertical="center"/>
    </xf>
    <xf numFmtId="1" fontId="6" fillId="0" borderId="51" xfId="0" applyNumberFormat="1" applyFont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16" fontId="29" fillId="0" borderId="0" xfId="0" applyNumberFormat="1" applyFont="1"/>
    <xf numFmtId="0" fontId="29" fillId="0" borderId="0" xfId="0" applyFont="1" applyAlignment="1">
      <alignment horizontal="center" vertical="center"/>
    </xf>
    <xf numFmtId="0" fontId="6" fillId="2" borderId="19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29" fillId="0" borderId="55" xfId="0" applyFont="1" applyBorder="1" applyAlignment="1">
      <alignment horizontal="center" vertical="center"/>
    </xf>
    <xf numFmtId="1" fontId="6" fillId="0" borderId="2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1" fontId="6" fillId="0" borderId="24" xfId="0" applyNumberFormat="1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1" fontId="6" fillId="0" borderId="54" xfId="0" applyNumberFormat="1" applyFont="1" applyBorder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16" fontId="6" fillId="0" borderId="0" xfId="0" applyNumberFormat="1" applyFont="1" applyAlignment="1">
      <alignment horizontal="center"/>
    </xf>
    <xf numFmtId="0" fontId="2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/>
    </xf>
    <xf numFmtId="0" fontId="29" fillId="0" borderId="58" xfId="0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60" xfId="0" applyFont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9" fillId="0" borderId="6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9" fillId="4" borderId="0" xfId="0" applyFont="1" applyFill="1" applyAlignment="1">
      <alignment horizontal="center" vertical="center"/>
    </xf>
    <xf numFmtId="164" fontId="29" fillId="4" borderId="0" xfId="0" applyNumberFormat="1" applyFont="1" applyFill="1"/>
    <xf numFmtId="0" fontId="29" fillId="0" borderId="0" xfId="0" applyFont="1" applyFill="1" applyBorder="1" applyAlignment="1">
      <alignment horizontal="left" vertical="center"/>
    </xf>
    <xf numFmtId="0" fontId="29" fillId="0" borderId="58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1" fontId="6" fillId="2" borderId="35" xfId="0" applyNumberFormat="1" applyFont="1" applyFill="1" applyBorder="1" applyAlignment="1">
      <alignment horizontal="center" vertical="center" wrapText="1"/>
    </xf>
    <xf numFmtId="0" fontId="29" fillId="4" borderId="0" xfId="0" applyFont="1" applyFill="1"/>
    <xf numFmtId="1" fontId="29" fillId="0" borderId="38" xfId="0" applyNumberFormat="1" applyFont="1" applyBorder="1" applyAlignment="1">
      <alignment horizontal="center" vertical="center"/>
    </xf>
    <xf numFmtId="1" fontId="29" fillId="0" borderId="0" xfId="0" applyNumberFormat="1" applyFont="1"/>
    <xf numFmtId="1" fontId="29" fillId="0" borderId="6" xfId="0" applyNumberFormat="1" applyFont="1" applyBorder="1" applyAlignment="1">
      <alignment horizontal="center" vertical="center"/>
    </xf>
    <xf numFmtId="1" fontId="29" fillId="0" borderId="62" xfId="0" applyNumberFormat="1" applyFont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 wrapText="1"/>
    </xf>
    <xf numFmtId="1" fontId="29" fillId="4" borderId="23" xfId="2" applyNumberFormat="1" applyFont="1" applyFill="1" applyBorder="1" applyAlignment="1">
      <alignment horizontal="center" vertical="center"/>
    </xf>
    <xf numFmtId="1" fontId="29" fillId="4" borderId="24" xfId="2" applyNumberFormat="1" applyFont="1" applyFill="1" applyBorder="1" applyAlignment="1">
      <alignment horizontal="center" vertical="center"/>
    </xf>
    <xf numFmtId="1" fontId="29" fillId="4" borderId="54" xfId="2" applyNumberFormat="1" applyFont="1" applyFill="1" applyBorder="1" applyAlignment="1">
      <alignment horizontal="center" vertical="center"/>
    </xf>
    <xf numFmtId="0" fontId="29" fillId="0" borderId="6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9" fontId="29" fillId="0" borderId="11" xfId="2" applyFont="1" applyBorder="1" applyAlignment="1">
      <alignment horizontal="center" vertical="center"/>
    </xf>
    <xf numFmtId="9" fontId="29" fillId="0" borderId="52" xfId="2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1" fontId="6" fillId="0" borderId="30" xfId="0" applyNumberFormat="1" applyFont="1" applyBorder="1" applyAlignment="1">
      <alignment horizontal="center" vertical="center"/>
    </xf>
    <xf numFmtId="0" fontId="29" fillId="4" borderId="0" xfId="0" applyFont="1" applyFill="1" applyAlignment="1">
      <alignment horizontal="left"/>
    </xf>
    <xf numFmtId="2" fontId="29" fillId="0" borderId="0" xfId="0" applyNumberFormat="1" applyFont="1"/>
    <xf numFmtId="0" fontId="6" fillId="0" borderId="0" xfId="0" applyFont="1" applyAlignment="1">
      <alignment horizontal="right" vertical="center"/>
    </xf>
    <xf numFmtId="0" fontId="29" fillId="0" borderId="64" xfId="0" applyFont="1" applyBorder="1" applyAlignment="1">
      <alignment horizontal="center" vertical="center"/>
    </xf>
    <xf numFmtId="1" fontId="6" fillId="0" borderId="6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1" fillId="0" borderId="0" xfId="0" applyFont="1"/>
    <xf numFmtId="3" fontId="31" fillId="0" borderId="29" xfId="0" applyNumberFormat="1" applyFont="1" applyBorder="1" applyAlignment="1">
      <alignment horizontal="center" vertical="center"/>
    </xf>
    <xf numFmtId="3" fontId="31" fillId="0" borderId="1" xfId="0" applyNumberFormat="1" applyFont="1" applyBorder="1" applyAlignment="1">
      <alignment horizontal="center" vertical="center"/>
    </xf>
    <xf numFmtId="3" fontId="31" fillId="0" borderId="65" xfId="0" applyNumberFormat="1" applyFont="1" applyBorder="1" applyAlignment="1">
      <alignment horizontal="center" vertical="center"/>
    </xf>
    <xf numFmtId="3" fontId="31" fillId="0" borderId="26" xfId="0" applyNumberFormat="1" applyFont="1" applyBorder="1" applyAlignment="1">
      <alignment horizontal="center" vertical="center"/>
    </xf>
    <xf numFmtId="3" fontId="31" fillId="0" borderId="25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34" fillId="6" borderId="2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31" fillId="0" borderId="36" xfId="0" applyNumberFormat="1" applyFont="1" applyBorder="1" applyAlignment="1">
      <alignment horizontal="center" vertical="center"/>
    </xf>
    <xf numFmtId="3" fontId="31" fillId="0" borderId="2" xfId="0" applyNumberFormat="1" applyFont="1" applyBorder="1" applyAlignment="1">
      <alignment horizontal="center" vertical="center"/>
    </xf>
    <xf numFmtId="3" fontId="31" fillId="0" borderId="53" xfId="0" applyNumberFormat="1" applyFont="1" applyBorder="1" applyAlignment="1">
      <alignment horizontal="center" vertical="center"/>
    </xf>
    <xf numFmtId="3" fontId="31" fillId="6" borderId="23" xfId="0" applyNumberFormat="1" applyFont="1" applyFill="1" applyBorder="1" applyAlignment="1">
      <alignment horizontal="center" vertical="center"/>
    </xf>
    <xf numFmtId="3" fontId="31" fillId="6" borderId="24" xfId="0" applyNumberFormat="1" applyFont="1" applyFill="1" applyBorder="1" applyAlignment="1">
      <alignment horizontal="center" vertical="center"/>
    </xf>
    <xf numFmtId="3" fontId="31" fillId="6" borderId="5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4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6" fillId="4" borderId="21" xfId="0" applyFont="1" applyFill="1" applyBorder="1" applyAlignment="1">
      <alignment horizontal="center" vertical="center" wrapText="1"/>
    </xf>
    <xf numFmtId="1" fontId="6" fillId="4" borderId="2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21" fontId="29" fillId="4" borderId="2" xfId="0" applyNumberFormat="1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1" fontId="29" fillId="4" borderId="2" xfId="0" applyNumberFormat="1" applyFont="1" applyFill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21" fontId="29" fillId="4" borderId="32" xfId="0" applyNumberFormat="1" applyFont="1" applyFill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/>
    </xf>
    <xf numFmtId="1" fontId="29" fillId="4" borderId="24" xfId="0" applyNumberFormat="1" applyFont="1" applyFill="1" applyBorder="1" applyAlignment="1">
      <alignment horizontal="center" vertical="center"/>
    </xf>
    <xf numFmtId="1" fontId="29" fillId="4" borderId="54" xfId="0" applyNumberFormat="1" applyFont="1" applyFill="1" applyBorder="1" applyAlignment="1">
      <alignment horizontal="center" vertical="center"/>
    </xf>
    <xf numFmtId="0" fontId="29" fillId="4" borderId="24" xfId="0" applyFont="1" applyFill="1" applyBorder="1" applyAlignment="1">
      <alignment horizontal="center" vertical="center"/>
    </xf>
    <xf numFmtId="0" fontId="29" fillId="4" borderId="54" xfId="0" applyFont="1" applyFill="1" applyBorder="1" applyAlignment="1">
      <alignment horizontal="center" vertical="center"/>
    </xf>
    <xf numFmtId="21" fontId="29" fillId="4" borderId="53" xfId="0" applyNumberFormat="1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9" fillId="4" borderId="56" xfId="0" applyFont="1" applyFill="1" applyBorder="1" applyAlignment="1">
      <alignment horizontal="center" vertical="center"/>
    </xf>
    <xf numFmtId="165" fontId="29" fillId="0" borderId="7" xfId="0" applyNumberFormat="1" applyFont="1" applyBorder="1" applyAlignment="1">
      <alignment horizontal="center" vertical="center"/>
    </xf>
    <xf numFmtId="165" fontId="29" fillId="0" borderId="50" xfId="0" applyNumberFormat="1" applyFont="1" applyBorder="1" applyAlignment="1">
      <alignment horizontal="center" vertical="center"/>
    </xf>
    <xf numFmtId="0" fontId="29" fillId="4" borderId="8" xfId="0" applyFont="1" applyFill="1" applyBorder="1" applyAlignment="1">
      <alignment horizontal="center" vertical="center"/>
    </xf>
    <xf numFmtId="0" fontId="29" fillId="4" borderId="60" xfId="0" applyFont="1" applyFill="1" applyBorder="1" applyAlignment="1">
      <alignment horizontal="center" vertical="center"/>
    </xf>
    <xf numFmtId="21" fontId="29" fillId="4" borderId="24" xfId="0" applyNumberFormat="1" applyFont="1" applyFill="1" applyBorder="1" applyAlignment="1">
      <alignment horizontal="center" vertical="center"/>
    </xf>
    <xf numFmtId="21" fontId="29" fillId="4" borderId="54" xfId="0" applyNumberFormat="1" applyFont="1" applyFill="1" applyBorder="1" applyAlignment="1">
      <alignment horizontal="center" vertical="center"/>
    </xf>
    <xf numFmtId="165" fontId="29" fillId="0" borderId="2" xfId="0" applyNumberFormat="1" applyFont="1" applyBorder="1" applyAlignment="1">
      <alignment horizontal="center" vertical="center"/>
    </xf>
    <xf numFmtId="165" fontId="29" fillId="0" borderId="53" xfId="0" applyNumberFormat="1" applyFont="1" applyBorder="1" applyAlignment="1">
      <alignment horizontal="center" vertical="center"/>
    </xf>
    <xf numFmtId="21" fontId="29" fillId="4" borderId="3" xfId="0" applyNumberFormat="1" applyFont="1" applyFill="1" applyBorder="1" applyAlignment="1">
      <alignment horizontal="center" vertical="center"/>
    </xf>
    <xf numFmtId="21" fontId="29" fillId="4" borderId="56" xfId="0" applyNumberFormat="1" applyFont="1" applyFill="1" applyBorder="1" applyAlignment="1">
      <alignment horizontal="center" vertical="center"/>
    </xf>
    <xf numFmtId="165" fontId="29" fillId="0" borderId="24" xfId="0" applyNumberFormat="1" applyFont="1" applyBorder="1" applyAlignment="1">
      <alignment horizontal="center" vertical="center"/>
    </xf>
    <xf numFmtId="165" fontId="29" fillId="0" borderId="54" xfId="0" applyNumberFormat="1" applyFont="1" applyBorder="1" applyAlignment="1">
      <alignment horizontal="center" vertical="center"/>
    </xf>
    <xf numFmtId="21" fontId="29" fillId="0" borderId="0" xfId="0" applyNumberFormat="1" applyFont="1" applyAlignment="1">
      <alignment wrapText="1"/>
    </xf>
    <xf numFmtId="21" fontId="29" fillId="29" borderId="2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21" fontId="29" fillId="29" borderId="0" xfId="0" applyNumberFormat="1" applyFont="1" applyFill="1" applyAlignment="1">
      <alignment wrapText="1"/>
    </xf>
    <xf numFmtId="21" fontId="29" fillId="31" borderId="0" xfId="0" applyNumberFormat="1" applyFont="1" applyFill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3" fontId="31" fillId="0" borderId="55" xfId="0" applyNumberFormat="1" applyFont="1" applyBorder="1" applyAlignment="1">
      <alignment horizontal="center" vertical="center"/>
    </xf>
    <xf numFmtId="3" fontId="31" fillId="0" borderId="3" xfId="0" applyNumberFormat="1" applyFont="1" applyBorder="1" applyAlignment="1">
      <alignment horizontal="center" vertical="center"/>
    </xf>
    <xf numFmtId="3" fontId="31" fillId="0" borderId="56" xfId="0" applyNumberFormat="1" applyFont="1" applyBorder="1" applyAlignment="1">
      <alignment horizontal="center" vertical="center"/>
    </xf>
    <xf numFmtId="3" fontId="6" fillId="29" borderId="24" xfId="0" applyNumberFormat="1" applyFont="1" applyFill="1" applyBorder="1" applyAlignment="1">
      <alignment horizontal="center" vertical="center"/>
    </xf>
    <xf numFmtId="165" fontId="29" fillId="0" borderId="37" xfId="0" applyNumberFormat="1" applyFont="1" applyBorder="1" applyAlignment="1">
      <alignment horizontal="center" vertical="center"/>
    </xf>
    <xf numFmtId="165" fontId="29" fillId="0" borderId="32" xfId="0" applyNumberFormat="1" applyFont="1" applyBorder="1" applyAlignment="1">
      <alignment horizontal="center" vertical="center"/>
    </xf>
    <xf numFmtId="165" fontId="29" fillId="0" borderId="30" xfId="0" applyNumberFormat="1" applyFont="1" applyBorder="1" applyAlignment="1">
      <alignment horizontal="center" vertical="center"/>
    </xf>
    <xf numFmtId="21" fontId="29" fillId="4" borderId="67" xfId="0" applyNumberFormat="1" applyFont="1" applyFill="1" applyBorder="1" applyAlignment="1">
      <alignment horizontal="center" vertical="center"/>
    </xf>
    <xf numFmtId="0" fontId="29" fillId="4" borderId="38" xfId="0" applyFont="1" applyFill="1" applyBorder="1" applyAlignment="1">
      <alignment horizontal="center" vertical="center"/>
    </xf>
    <xf numFmtId="0" fontId="29" fillId="4" borderId="67" xfId="0" applyFont="1" applyFill="1" applyBorder="1" applyAlignment="1">
      <alignment horizontal="center" vertical="center"/>
    </xf>
    <xf numFmtId="0" fontId="29" fillId="4" borderId="30" xfId="0" applyFont="1" applyFill="1" applyBorder="1" applyAlignment="1">
      <alignment horizontal="center" vertical="center"/>
    </xf>
    <xf numFmtId="1" fontId="29" fillId="4" borderId="30" xfId="0" applyNumberFormat="1" applyFont="1" applyFill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66" xfId="0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3" fontId="31" fillId="0" borderId="3" xfId="0" applyNumberFormat="1" applyFont="1" applyFill="1" applyBorder="1" applyAlignment="1">
      <alignment horizontal="center" vertical="center"/>
    </xf>
    <xf numFmtId="21" fontId="29" fillId="4" borderId="11" xfId="0" applyNumberFormat="1" applyFont="1" applyFill="1" applyBorder="1" applyAlignment="1" applyProtection="1">
      <alignment horizontal="center" vertical="center"/>
    </xf>
    <xf numFmtId="21" fontId="29" fillId="4" borderId="12" xfId="0" applyNumberFormat="1" applyFont="1" applyFill="1" applyBorder="1" applyAlignment="1" applyProtection="1">
      <alignment horizontal="center" vertical="center"/>
    </xf>
    <xf numFmtId="21" fontId="29" fillId="4" borderId="51" xfId="0" applyNumberFormat="1" applyFont="1" applyFill="1" applyBorder="1" applyAlignment="1" applyProtection="1">
      <alignment horizontal="center" vertical="center"/>
    </xf>
    <xf numFmtId="2" fontId="31" fillId="0" borderId="5" xfId="0" applyNumberFormat="1" applyFont="1" applyBorder="1" applyAlignment="1">
      <alignment horizontal="center" vertical="center"/>
    </xf>
    <xf numFmtId="2" fontId="31" fillId="0" borderId="37" xfId="0" applyNumberFormat="1" applyFont="1" applyBorder="1" applyAlignment="1">
      <alignment horizontal="center" vertical="center"/>
    </xf>
    <xf numFmtId="2" fontId="31" fillId="0" borderId="7" xfId="0" applyNumberFormat="1" applyFont="1" applyBorder="1" applyAlignment="1">
      <alignment horizontal="center" vertical="center"/>
    </xf>
    <xf numFmtId="2" fontId="31" fillId="0" borderId="50" xfId="0" applyNumberFormat="1" applyFont="1" applyBorder="1" applyAlignment="1">
      <alignment horizontal="center" vertical="center"/>
    </xf>
    <xf numFmtId="0" fontId="29" fillId="0" borderId="63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/>
    </xf>
    <xf numFmtId="0" fontId="29" fillId="0" borderId="0" xfId="0" applyNumberFormat="1" applyFont="1" applyAlignment="1">
      <alignment horizontal="center" vertical="center"/>
    </xf>
    <xf numFmtId="0" fontId="6" fillId="2" borderId="1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9" fontId="29" fillId="0" borderId="23" xfId="2" applyFont="1" applyBorder="1" applyAlignment="1">
      <alignment horizontal="center" vertical="center"/>
    </xf>
    <xf numFmtId="3" fontId="29" fillId="2" borderId="11" xfId="0" applyNumberFormat="1" applyFont="1" applyFill="1" applyBorder="1" applyAlignment="1">
      <alignment horizontal="center" vertical="center"/>
    </xf>
    <xf numFmtId="4" fontId="29" fillId="0" borderId="2" xfId="0" applyNumberFormat="1" applyFont="1" applyBorder="1" applyAlignment="1">
      <alignment horizontal="center" vertical="center"/>
    </xf>
    <xf numFmtId="3" fontId="29" fillId="2" borderId="12" xfId="0" applyNumberFormat="1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9" fontId="29" fillId="0" borderId="24" xfId="2" applyFont="1" applyBorder="1" applyAlignment="1">
      <alignment horizontal="center" vertical="center"/>
    </xf>
    <xf numFmtId="4" fontId="29" fillId="0" borderId="1" xfId="0" applyNumberFormat="1" applyFont="1" applyBorder="1" applyAlignment="1">
      <alignment horizontal="center" vertical="center"/>
    </xf>
    <xf numFmtId="3" fontId="6" fillId="2" borderId="12" xfId="0" applyNumberFormat="1" applyFont="1" applyFill="1" applyBorder="1" applyAlignment="1">
      <alignment horizontal="center" vertical="center"/>
    </xf>
    <xf numFmtId="2" fontId="29" fillId="0" borderId="7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/>
    </xf>
    <xf numFmtId="4" fontId="29" fillId="0" borderId="36" xfId="0" applyNumberFormat="1" applyFont="1" applyBorder="1" applyAlignment="1">
      <alignment horizontal="center" vertical="center"/>
    </xf>
    <xf numFmtId="4" fontId="29" fillId="0" borderId="25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1" fillId="0" borderId="1" xfId="0" applyFont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/>
    </xf>
    <xf numFmtId="0" fontId="29" fillId="0" borderId="0" xfId="0" applyNumberFormat="1" applyFont="1"/>
    <xf numFmtId="0" fontId="29" fillId="0" borderId="29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/>
    </xf>
    <xf numFmtId="2" fontId="29" fillId="0" borderId="32" xfId="0" applyNumberFormat="1" applyFont="1" applyBorder="1" applyAlignment="1">
      <alignment horizontal="center" vertical="center"/>
    </xf>
    <xf numFmtId="2" fontId="29" fillId="0" borderId="2" xfId="0" applyNumberFormat="1" applyFont="1" applyBorder="1" applyAlignment="1">
      <alignment horizontal="center" vertical="center"/>
    </xf>
    <xf numFmtId="2" fontId="29" fillId="4" borderId="2" xfId="0" applyNumberFormat="1" applyFont="1" applyFill="1" applyBorder="1" applyAlignment="1">
      <alignment horizontal="center" vertical="center"/>
    </xf>
    <xf numFmtId="2" fontId="29" fillId="0" borderId="53" xfId="0" applyNumberFormat="1" applyFont="1" applyBorder="1" applyAlignment="1">
      <alignment horizontal="center" vertical="center"/>
    </xf>
    <xf numFmtId="1" fontId="29" fillId="0" borderId="30" xfId="0" applyNumberFormat="1" applyFont="1" applyBorder="1" applyAlignment="1">
      <alignment horizontal="center" vertical="center"/>
    </xf>
    <xf numFmtId="1" fontId="29" fillId="0" borderId="24" xfId="0" applyNumberFormat="1" applyFont="1" applyBorder="1" applyAlignment="1">
      <alignment horizontal="center" vertical="center"/>
    </xf>
    <xf numFmtId="1" fontId="29" fillId="0" borderId="54" xfId="0" applyNumberFormat="1" applyFont="1" applyBorder="1" applyAlignment="1">
      <alignment horizontal="center" vertical="center"/>
    </xf>
    <xf numFmtId="21" fontId="29" fillId="4" borderId="3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2" fontId="3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/>
    </xf>
    <xf numFmtId="0" fontId="6" fillId="0" borderId="6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/>
    </xf>
    <xf numFmtId="0" fontId="4" fillId="4" borderId="0" xfId="0" applyFont="1" applyFill="1" applyAlignment="1">
      <alignment horizontal="center" vertical="center"/>
    </xf>
  </cellXfs>
  <cellStyles count="44">
    <cellStyle name="20% – rõhk1" xfId="4"/>
    <cellStyle name="20% – rõhk2" xfId="5"/>
    <cellStyle name="20% – rõhk3" xfId="6"/>
    <cellStyle name="20% – rõhk4" xfId="7"/>
    <cellStyle name="20% – rõhk5" xfId="8"/>
    <cellStyle name="20% – rõhk6" xfId="9"/>
    <cellStyle name="40% – rõhk1" xfId="10"/>
    <cellStyle name="40% – rõhk2" xfId="11"/>
    <cellStyle name="40% – rõhk3" xfId="12"/>
    <cellStyle name="40% – rõhk4" xfId="13"/>
    <cellStyle name="40% – rõhk5" xfId="14"/>
    <cellStyle name="40% – rõhk6" xfId="15"/>
    <cellStyle name="60% – rõhk1" xfId="16"/>
    <cellStyle name="60% – rõhk2" xfId="17"/>
    <cellStyle name="60% – rõhk3" xfId="18"/>
    <cellStyle name="60% – rõhk4" xfId="19"/>
    <cellStyle name="60% – rõhk5" xfId="20"/>
    <cellStyle name="60% – rõhk6" xfId="21"/>
    <cellStyle name="Arvutus" xfId="22"/>
    <cellStyle name="Comma" xfId="1" builtinId="3"/>
    <cellStyle name="Halb" xfId="23"/>
    <cellStyle name="Hea" xfId="24"/>
    <cellStyle name="Hoiatustekst" xfId="25"/>
    <cellStyle name="Kokku" xfId="26"/>
    <cellStyle name="Kontrolli lahtrit" xfId="27"/>
    <cellStyle name="Lingitud lahter" xfId="28"/>
    <cellStyle name="Märkus" xfId="29"/>
    <cellStyle name="Neutraalne" xfId="30"/>
    <cellStyle name="Normal" xfId="0" builtinId="0"/>
    <cellStyle name="Normal 2" xfId="3"/>
    <cellStyle name="Pealkiri 1 1" xfId="31"/>
    <cellStyle name="Pealkiri 2" xfId="32"/>
    <cellStyle name="Pealkiri 3" xfId="33"/>
    <cellStyle name="Pealkiri 4" xfId="34"/>
    <cellStyle name="Percent" xfId="2" builtinId="5"/>
    <cellStyle name="Rõhk1" xfId="35"/>
    <cellStyle name="Rõhk2" xfId="36"/>
    <cellStyle name="Rõhk3" xfId="37"/>
    <cellStyle name="Rõhk4" xfId="38"/>
    <cellStyle name="Rõhk5" xfId="39"/>
    <cellStyle name="Rõhk6" xfId="40"/>
    <cellStyle name="Selgitav tekst" xfId="41"/>
    <cellStyle name="Sisestus" xfId="42"/>
    <cellStyle name="Väljund" xfId="43"/>
  </cellStyles>
  <dxfs count="13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C21"/>
  <sheetViews>
    <sheetView workbookViewId="0">
      <selection activeCell="D16" sqref="D16"/>
    </sheetView>
  </sheetViews>
  <sheetFormatPr defaultColWidth="8" defaultRowHeight="12.75" x14ac:dyDescent="0.25"/>
  <cols>
    <col min="1" max="1" width="3" style="157" bestFit="1" customWidth="1"/>
    <col min="2" max="2" width="18.140625" style="157" bestFit="1" customWidth="1"/>
    <col min="3" max="3" width="10.85546875" style="157" bestFit="1" customWidth="1"/>
    <col min="4" max="4" width="22.42578125" style="157" bestFit="1" customWidth="1"/>
    <col min="5" max="16384" width="8" style="157"/>
  </cols>
  <sheetData>
    <row r="1" spans="1:3" ht="13.5" thickBot="1" x14ac:dyDescent="0.3">
      <c r="A1" s="205"/>
      <c r="B1" s="205" t="s">
        <v>131</v>
      </c>
      <c r="C1" s="205"/>
    </row>
    <row r="2" spans="1:3" ht="26.25" thickBot="1" x14ac:dyDescent="0.3">
      <c r="A2"/>
      <c r="B2" s="114" t="s">
        <v>21</v>
      </c>
      <c r="C2" s="176" t="s">
        <v>125</v>
      </c>
    </row>
    <row r="3" spans="1:3" x14ac:dyDescent="0.25">
      <c r="A3" s="137">
        <v>1</v>
      </c>
      <c r="B3" s="137" t="s">
        <v>100</v>
      </c>
      <c r="C3" s="137">
        <v>14</v>
      </c>
    </row>
    <row r="4" spans="1:3" x14ac:dyDescent="0.25">
      <c r="A4" s="144">
        <v>2</v>
      </c>
      <c r="B4" s="144" t="s">
        <v>108</v>
      </c>
      <c r="C4" s="144">
        <v>17</v>
      </c>
    </row>
    <row r="5" spans="1:3" x14ac:dyDescent="0.25">
      <c r="A5" s="144">
        <v>3</v>
      </c>
      <c r="B5" s="144" t="s">
        <v>101</v>
      </c>
      <c r="C5" s="144">
        <v>16</v>
      </c>
    </row>
    <row r="6" spans="1:3" x14ac:dyDescent="0.25">
      <c r="A6" s="144">
        <v>4</v>
      </c>
      <c r="B6" s="144" t="s">
        <v>107</v>
      </c>
      <c r="C6" s="144">
        <v>18</v>
      </c>
    </row>
    <row r="7" spans="1:3" x14ac:dyDescent="0.25">
      <c r="A7" s="144">
        <v>5</v>
      </c>
      <c r="B7" s="144" t="s">
        <v>110</v>
      </c>
      <c r="C7" s="144">
        <v>10</v>
      </c>
    </row>
    <row r="8" spans="1:3" x14ac:dyDescent="0.25">
      <c r="A8" s="144">
        <v>6</v>
      </c>
      <c r="B8" s="144" t="s">
        <v>111</v>
      </c>
      <c r="C8" s="144">
        <v>11</v>
      </c>
    </row>
    <row r="9" spans="1:3" x14ac:dyDescent="0.25">
      <c r="A9" s="144">
        <v>7</v>
      </c>
      <c r="B9" s="144" t="s">
        <v>56</v>
      </c>
      <c r="C9" s="144">
        <v>3</v>
      </c>
    </row>
    <row r="10" spans="1:3" x14ac:dyDescent="0.25">
      <c r="A10" s="144">
        <v>8</v>
      </c>
      <c r="B10" s="144" t="s">
        <v>112</v>
      </c>
      <c r="C10" s="144">
        <v>13</v>
      </c>
    </row>
    <row r="11" spans="1:3" x14ac:dyDescent="0.25">
      <c r="A11" s="144">
        <v>9</v>
      </c>
      <c r="B11" s="144" t="s">
        <v>103</v>
      </c>
      <c r="C11" s="144">
        <v>15</v>
      </c>
    </row>
    <row r="12" spans="1:3" x14ac:dyDescent="0.25">
      <c r="A12" s="144">
        <v>10</v>
      </c>
      <c r="B12" s="144" t="s">
        <v>59</v>
      </c>
      <c r="C12" s="144">
        <v>1</v>
      </c>
    </row>
    <row r="13" spans="1:3" x14ac:dyDescent="0.25">
      <c r="A13" s="144">
        <v>11</v>
      </c>
      <c r="B13" s="144" t="s">
        <v>102</v>
      </c>
      <c r="C13" s="144">
        <v>9</v>
      </c>
    </row>
    <row r="14" spans="1:3" x14ac:dyDescent="0.25">
      <c r="A14" s="144">
        <v>12</v>
      </c>
      <c r="B14" s="144" t="s">
        <v>58</v>
      </c>
      <c r="C14" s="144">
        <v>6</v>
      </c>
    </row>
    <row r="15" spans="1:3" x14ac:dyDescent="0.25">
      <c r="A15" s="144">
        <v>13</v>
      </c>
      <c r="B15" s="144" t="s">
        <v>105</v>
      </c>
      <c r="C15" s="144">
        <v>2</v>
      </c>
    </row>
    <row r="16" spans="1:3" x14ac:dyDescent="0.25">
      <c r="A16" s="144">
        <v>14</v>
      </c>
      <c r="B16" s="144" t="s">
        <v>99</v>
      </c>
      <c r="C16" s="144">
        <v>19</v>
      </c>
    </row>
    <row r="17" spans="1:3" x14ac:dyDescent="0.25">
      <c r="A17" s="144">
        <v>15</v>
      </c>
      <c r="B17" s="144" t="s">
        <v>113</v>
      </c>
      <c r="C17" s="144">
        <v>7</v>
      </c>
    </row>
    <row r="18" spans="1:3" x14ac:dyDescent="0.25">
      <c r="A18" s="144">
        <v>16</v>
      </c>
      <c r="B18" s="144" t="s">
        <v>97</v>
      </c>
      <c r="C18" s="144">
        <v>5</v>
      </c>
    </row>
    <row r="19" spans="1:3" x14ac:dyDescent="0.25">
      <c r="A19" s="144">
        <v>17</v>
      </c>
      <c r="B19" s="144" t="s">
        <v>109</v>
      </c>
      <c r="C19" s="144">
        <v>4</v>
      </c>
    </row>
    <row r="20" spans="1:3" x14ac:dyDescent="0.25">
      <c r="A20" s="144">
        <v>18</v>
      </c>
      <c r="B20" s="144" t="s">
        <v>104</v>
      </c>
      <c r="C20" s="144">
        <v>12</v>
      </c>
    </row>
    <row r="21" spans="1:3" ht="13.5" thickBot="1" x14ac:dyDescent="0.3">
      <c r="A21" s="145">
        <v>19</v>
      </c>
      <c r="B21" s="145" t="s">
        <v>106</v>
      </c>
      <c r="C21" s="145">
        <v>8</v>
      </c>
    </row>
  </sheetData>
  <sortState ref="B3:C21">
    <sortCondition ref="B2"/>
  </sortState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H22"/>
  <sheetViews>
    <sheetView zoomScaleNormal="100" workbookViewId="0">
      <selection activeCell="H19" sqref="H19"/>
    </sheetView>
  </sheetViews>
  <sheetFormatPr defaultColWidth="8.85546875" defaultRowHeight="12.75" x14ac:dyDescent="0.2"/>
  <cols>
    <col min="1" max="1" width="6" style="111" customWidth="1"/>
    <col min="2" max="2" width="18" style="111" bestFit="1" customWidth="1"/>
    <col min="3" max="3" width="9.140625" style="111" bestFit="1" customWidth="1"/>
    <col min="4" max="4" width="7.85546875" style="189" bestFit="1" customWidth="1"/>
    <col min="5" max="5" width="5.85546875" style="111" bestFit="1" customWidth="1"/>
    <col min="6" max="6" width="16.5703125" style="111" bestFit="1" customWidth="1"/>
    <col min="7" max="7" width="6" style="111" bestFit="1" customWidth="1"/>
    <col min="8" max="8" width="4" style="111" bestFit="1" customWidth="1"/>
    <col min="9" max="16384" width="8.85546875" style="111"/>
  </cols>
  <sheetData>
    <row r="1" spans="1:8" x14ac:dyDescent="0.2">
      <c r="C1" s="337" t="s">
        <v>148</v>
      </c>
      <c r="D1" s="337"/>
      <c r="E1" s="111">
        <v>1.8</v>
      </c>
    </row>
    <row r="2" spans="1:8" ht="13.5" thickBot="1" x14ac:dyDescent="0.25">
      <c r="C2" s="157"/>
      <c r="D2" s="185"/>
    </row>
    <row r="3" spans="1:8" ht="26.25" thickBot="1" x14ac:dyDescent="0.25">
      <c r="A3" s="159" t="s">
        <v>126</v>
      </c>
      <c r="B3" s="152" t="s">
        <v>21</v>
      </c>
      <c r="C3" s="192" t="s">
        <v>130</v>
      </c>
      <c r="D3" s="186" t="s">
        <v>91</v>
      </c>
      <c r="E3" s="196" t="s">
        <v>22</v>
      </c>
      <c r="F3" s="187"/>
    </row>
    <row r="4" spans="1:8" x14ac:dyDescent="0.2">
      <c r="A4" s="153">
        <v>14</v>
      </c>
      <c r="B4" s="153" t="s">
        <v>100</v>
      </c>
      <c r="C4" s="193" t="s">
        <v>43</v>
      </c>
      <c r="D4" s="197"/>
      <c r="E4" s="190">
        <v>0</v>
      </c>
      <c r="F4" s="187"/>
      <c r="G4" s="111" t="s">
        <v>12</v>
      </c>
      <c r="H4" s="132">
        <v>100</v>
      </c>
    </row>
    <row r="5" spans="1:8" x14ac:dyDescent="0.2">
      <c r="A5" s="168">
        <v>17</v>
      </c>
      <c r="B5" s="154" t="s">
        <v>108</v>
      </c>
      <c r="C5" s="194">
        <v>12.7</v>
      </c>
      <c r="D5" s="198">
        <v>1</v>
      </c>
      <c r="E5" s="188">
        <f t="shared" ref="E5:E10" si="0">IF(D5=1,MIN($C$4:$C$19)/C5*$H$4,IF(D5=2,MIN($C$4:$C$19)/C5*$H$5,MIN($C$4:$C$19)/C5*$H$6))</f>
        <v>61.417322834645674</v>
      </c>
      <c r="F5" s="187"/>
      <c r="H5" s="132">
        <v>75</v>
      </c>
    </row>
    <row r="6" spans="1:8" x14ac:dyDescent="0.2">
      <c r="A6" s="168">
        <v>16</v>
      </c>
      <c r="B6" s="154" t="s">
        <v>101</v>
      </c>
      <c r="C6" s="194">
        <v>23.4</v>
      </c>
      <c r="D6" s="198">
        <v>1</v>
      </c>
      <c r="E6" s="188">
        <f t="shared" si="0"/>
        <v>33.333333333333336</v>
      </c>
      <c r="F6" s="187"/>
      <c r="H6" s="132">
        <v>50</v>
      </c>
    </row>
    <row r="7" spans="1:8" x14ac:dyDescent="0.2">
      <c r="A7" s="168">
        <v>18</v>
      </c>
      <c r="B7" s="154" t="s">
        <v>107</v>
      </c>
      <c r="C7" s="194">
        <v>16.7</v>
      </c>
      <c r="D7" s="198">
        <v>1</v>
      </c>
      <c r="E7" s="188">
        <f t="shared" si="0"/>
        <v>46.706586826347305</v>
      </c>
      <c r="F7" s="187"/>
    </row>
    <row r="8" spans="1:8" x14ac:dyDescent="0.2">
      <c r="A8" s="168">
        <v>10</v>
      </c>
      <c r="B8" s="154" t="s">
        <v>110</v>
      </c>
      <c r="C8" s="194">
        <v>14.5</v>
      </c>
      <c r="D8" s="198">
        <v>2</v>
      </c>
      <c r="E8" s="188">
        <f t="shared" si="0"/>
        <v>40.344827586206897</v>
      </c>
      <c r="F8" s="187"/>
    </row>
    <row r="9" spans="1:8" x14ac:dyDescent="0.2">
      <c r="A9" s="168">
        <v>11</v>
      </c>
      <c r="B9" s="154" t="s">
        <v>111</v>
      </c>
      <c r="C9" s="194">
        <v>23.4</v>
      </c>
      <c r="D9" s="198">
        <v>2</v>
      </c>
      <c r="E9" s="188">
        <f t="shared" si="0"/>
        <v>25.000000000000004</v>
      </c>
      <c r="F9" s="187"/>
    </row>
    <row r="10" spans="1:8" x14ac:dyDescent="0.2">
      <c r="A10" s="168">
        <v>3</v>
      </c>
      <c r="B10" s="154" t="s">
        <v>56</v>
      </c>
      <c r="C10" s="194">
        <v>17.899999999999999</v>
      </c>
      <c r="D10" s="198">
        <v>1</v>
      </c>
      <c r="E10" s="188">
        <f t="shared" si="0"/>
        <v>43.575418994413411</v>
      </c>
      <c r="F10" s="187"/>
    </row>
    <row r="11" spans="1:8" x14ac:dyDescent="0.2">
      <c r="A11" s="168">
        <v>13</v>
      </c>
      <c r="B11" s="154" t="s">
        <v>112</v>
      </c>
      <c r="C11" s="194" t="s">
        <v>43</v>
      </c>
      <c r="D11" s="198"/>
      <c r="E11" s="188">
        <v>0</v>
      </c>
      <c r="F11" s="187"/>
    </row>
    <row r="12" spans="1:8" x14ac:dyDescent="0.2">
      <c r="A12" s="168">
        <v>15</v>
      </c>
      <c r="B12" s="154" t="s">
        <v>103</v>
      </c>
      <c r="C12" s="194">
        <v>34.700000000000003</v>
      </c>
      <c r="D12" s="198">
        <v>1</v>
      </c>
      <c r="E12" s="188">
        <f t="shared" ref="E12:E21" si="1">IF(D12=1,MIN($C$4:$C$19)/C12*$H$4,IF(D12=2,MIN($C$4:$C$19)/C12*$H$5,MIN($C$4:$C$19)/C12*$H$6))</f>
        <v>22.478386167146972</v>
      </c>
      <c r="F12" s="187"/>
    </row>
    <row r="13" spans="1:8" x14ac:dyDescent="0.2">
      <c r="A13" s="168">
        <v>1</v>
      </c>
      <c r="B13" s="154" t="s">
        <v>59</v>
      </c>
      <c r="C13" s="194">
        <v>7.8</v>
      </c>
      <c r="D13" s="198">
        <v>1</v>
      </c>
      <c r="E13" s="188">
        <f t="shared" si="1"/>
        <v>100</v>
      </c>
      <c r="F13" s="187"/>
    </row>
    <row r="14" spans="1:8" x14ac:dyDescent="0.2">
      <c r="A14" s="168">
        <v>9</v>
      </c>
      <c r="B14" s="154" t="s">
        <v>102</v>
      </c>
      <c r="C14" s="194">
        <v>20.5</v>
      </c>
      <c r="D14" s="198">
        <v>1</v>
      </c>
      <c r="E14" s="188">
        <f t="shared" si="1"/>
        <v>38.048780487804876</v>
      </c>
      <c r="F14" s="187"/>
    </row>
    <row r="15" spans="1:8" x14ac:dyDescent="0.2">
      <c r="A15" s="168">
        <v>6</v>
      </c>
      <c r="B15" s="154" t="s">
        <v>58</v>
      </c>
      <c r="C15" s="194">
        <v>15.3</v>
      </c>
      <c r="D15" s="198">
        <v>1</v>
      </c>
      <c r="E15" s="188">
        <f t="shared" si="1"/>
        <v>50.980392156862742</v>
      </c>
    </row>
    <row r="16" spans="1:8" x14ac:dyDescent="0.2">
      <c r="A16" s="168">
        <v>2</v>
      </c>
      <c r="B16" s="154" t="s">
        <v>105</v>
      </c>
      <c r="C16" s="194">
        <v>16.5</v>
      </c>
      <c r="D16" s="198">
        <v>1</v>
      </c>
      <c r="E16" s="188">
        <f t="shared" si="1"/>
        <v>47.272727272727273</v>
      </c>
    </row>
    <row r="17" spans="1:5" x14ac:dyDescent="0.2">
      <c r="A17" s="168">
        <v>19</v>
      </c>
      <c r="B17" s="154" t="s">
        <v>99</v>
      </c>
      <c r="C17" s="194">
        <v>8.5</v>
      </c>
      <c r="D17" s="198">
        <v>1</v>
      </c>
      <c r="E17" s="188">
        <f t="shared" si="1"/>
        <v>91.764705882352942</v>
      </c>
    </row>
    <row r="18" spans="1:5" x14ac:dyDescent="0.2">
      <c r="A18" s="168">
        <v>7</v>
      </c>
      <c r="B18" s="154" t="s">
        <v>113</v>
      </c>
      <c r="C18" s="194">
        <v>10.6</v>
      </c>
      <c r="D18" s="198">
        <v>1</v>
      </c>
      <c r="E18" s="188">
        <f t="shared" si="1"/>
        <v>73.584905660377359</v>
      </c>
    </row>
    <row r="19" spans="1:5" x14ac:dyDescent="0.2">
      <c r="A19" s="168">
        <v>5</v>
      </c>
      <c r="B19" s="154" t="s">
        <v>97</v>
      </c>
      <c r="C19" s="194">
        <v>36.5</v>
      </c>
      <c r="D19" s="198">
        <v>1</v>
      </c>
      <c r="E19" s="188">
        <f t="shared" si="1"/>
        <v>21.369863013698627</v>
      </c>
    </row>
    <row r="20" spans="1:5" x14ac:dyDescent="0.2">
      <c r="A20" s="168">
        <v>4</v>
      </c>
      <c r="B20" s="154" t="s">
        <v>109</v>
      </c>
      <c r="C20" s="194">
        <v>27.8</v>
      </c>
      <c r="D20" s="198">
        <v>1</v>
      </c>
      <c r="E20" s="188">
        <f t="shared" si="1"/>
        <v>28.057553956834528</v>
      </c>
    </row>
    <row r="21" spans="1:5" x14ac:dyDescent="0.2">
      <c r="A21" s="168">
        <v>12</v>
      </c>
      <c r="B21" s="154" t="s">
        <v>104</v>
      </c>
      <c r="C21" s="194">
        <v>13.7</v>
      </c>
      <c r="D21" s="198">
        <v>1</v>
      </c>
      <c r="E21" s="188">
        <f t="shared" si="1"/>
        <v>56.934306569343065</v>
      </c>
    </row>
    <row r="22" spans="1:5" ht="13.5" thickBot="1" x14ac:dyDescent="0.25">
      <c r="A22" s="178">
        <v>8</v>
      </c>
      <c r="B22" s="155" t="s">
        <v>106</v>
      </c>
      <c r="C22" s="195" t="s">
        <v>43</v>
      </c>
      <c r="D22" s="199"/>
      <c r="E22" s="191">
        <v>0</v>
      </c>
    </row>
  </sheetData>
  <sortState ref="A4:E22">
    <sortCondition ref="B4:B22"/>
  </sortState>
  <mergeCells count="1">
    <mergeCell ref="C1:D1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&amp;C&amp;A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J23"/>
  <sheetViews>
    <sheetView zoomScaleNormal="100" workbookViewId="0">
      <selection activeCell="C5" sqref="C5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15.140625" style="111" bestFit="1" customWidth="1"/>
    <col min="4" max="4" width="8.85546875" style="111" bestFit="1" customWidth="1"/>
    <col min="5" max="5" width="12" style="111" hidden="1" customWidth="1"/>
    <col min="6" max="6" width="10.28515625" style="111" bestFit="1" customWidth="1"/>
    <col min="7" max="7" width="7" style="111" customWidth="1"/>
    <col min="8" max="8" width="10.28515625" style="111" bestFit="1" customWidth="1"/>
    <col min="9" max="9" width="17.85546875" style="111" bestFit="1" customWidth="1"/>
    <col min="10" max="16384" width="8.85546875" style="111"/>
  </cols>
  <sheetData>
    <row r="1" spans="1:10" x14ac:dyDescent="0.2">
      <c r="C1" s="206" t="s">
        <v>139</v>
      </c>
      <c r="D1" s="167" t="s">
        <v>141</v>
      </c>
    </row>
    <row r="2" spans="1:10" ht="13.5" thickBot="1" x14ac:dyDescent="0.25">
      <c r="C2" s="157"/>
    </row>
    <row r="3" spans="1:10" ht="26.25" thickBot="1" x14ac:dyDescent="0.25">
      <c r="A3" s="176" t="s">
        <v>126</v>
      </c>
      <c r="B3" s="114" t="s">
        <v>21</v>
      </c>
      <c r="C3" s="169" t="s">
        <v>124</v>
      </c>
      <c r="D3" s="176" t="s">
        <v>45</v>
      </c>
      <c r="E3" s="176" t="s">
        <v>13</v>
      </c>
      <c r="F3" s="177" t="s">
        <v>22</v>
      </c>
      <c r="G3" s="117" t="s">
        <v>28</v>
      </c>
      <c r="H3" s="177" t="s">
        <v>6</v>
      </c>
    </row>
    <row r="4" spans="1:10" x14ac:dyDescent="0.2">
      <c r="A4" s="153">
        <v>14</v>
      </c>
      <c r="B4" s="153" t="s">
        <v>100</v>
      </c>
      <c r="C4" s="200" t="s">
        <v>43</v>
      </c>
      <c r="D4" s="153">
        <v>0</v>
      </c>
      <c r="E4" s="153">
        <v>0</v>
      </c>
      <c r="F4" s="201">
        <f t="shared" ref="F4:F22" si="0">ROUND($J$5*E4/MAX($E$4:$E$22),0)</f>
        <v>0</v>
      </c>
      <c r="G4" s="202"/>
      <c r="H4" s="201">
        <f t="shared" ref="H4:H22" si="1">ROUND(F4-F4*G4,0)</f>
        <v>0</v>
      </c>
    </row>
    <row r="5" spans="1:10" x14ac:dyDescent="0.2">
      <c r="A5" s="168">
        <v>17</v>
      </c>
      <c r="B5" s="154" t="s">
        <v>108</v>
      </c>
      <c r="C5" s="171">
        <v>5</v>
      </c>
      <c r="D5" s="154">
        <v>93.89</v>
      </c>
      <c r="E5" s="154">
        <f t="shared" ref="E5:E10" si="2">C5^3/D5</f>
        <v>1.3313451911811693</v>
      </c>
      <c r="F5" s="174">
        <f t="shared" si="0"/>
        <v>373</v>
      </c>
      <c r="G5" s="136"/>
      <c r="H5" s="173">
        <f t="shared" si="1"/>
        <v>373</v>
      </c>
      <c r="I5" s="111" t="s">
        <v>11</v>
      </c>
      <c r="J5" s="166">
        <v>1000</v>
      </c>
    </row>
    <row r="6" spans="1:10" x14ac:dyDescent="0.2">
      <c r="A6" s="168">
        <v>16</v>
      </c>
      <c r="B6" s="154" t="s">
        <v>101</v>
      </c>
      <c r="C6" s="171">
        <v>5</v>
      </c>
      <c r="D6" s="154">
        <v>51.31</v>
      </c>
      <c r="E6" s="154">
        <f t="shared" si="2"/>
        <v>2.4361722861040733</v>
      </c>
      <c r="F6" s="174">
        <f t="shared" si="0"/>
        <v>682</v>
      </c>
      <c r="G6" s="136"/>
      <c r="H6" s="173">
        <f t="shared" si="1"/>
        <v>682</v>
      </c>
    </row>
    <row r="7" spans="1:10" x14ac:dyDescent="0.2">
      <c r="A7" s="168">
        <v>18</v>
      </c>
      <c r="B7" s="154" t="s">
        <v>107</v>
      </c>
      <c r="C7" s="171">
        <v>5</v>
      </c>
      <c r="D7" s="154">
        <v>35.06</v>
      </c>
      <c r="E7" s="154">
        <f t="shared" si="2"/>
        <v>3.5653166001140897</v>
      </c>
      <c r="F7" s="174">
        <f t="shared" si="0"/>
        <v>998</v>
      </c>
      <c r="G7" s="136"/>
      <c r="H7" s="173">
        <f t="shared" si="1"/>
        <v>998</v>
      </c>
    </row>
    <row r="8" spans="1:10" x14ac:dyDescent="0.2">
      <c r="A8" s="168">
        <v>10</v>
      </c>
      <c r="B8" s="154" t="s">
        <v>110</v>
      </c>
      <c r="C8" s="183">
        <v>5</v>
      </c>
      <c r="D8" s="184">
        <v>48.69</v>
      </c>
      <c r="E8" s="184">
        <f t="shared" si="2"/>
        <v>2.5672622715136582</v>
      </c>
      <c r="F8" s="174">
        <f t="shared" si="0"/>
        <v>719</v>
      </c>
      <c r="G8" s="136"/>
      <c r="H8" s="173">
        <f t="shared" si="1"/>
        <v>719</v>
      </c>
    </row>
    <row r="9" spans="1:10" x14ac:dyDescent="0.2">
      <c r="A9" s="168">
        <v>11</v>
      </c>
      <c r="B9" s="154" t="s">
        <v>111</v>
      </c>
      <c r="C9" s="171">
        <v>5</v>
      </c>
      <c r="D9" s="154">
        <v>59.67</v>
      </c>
      <c r="E9" s="154">
        <f t="shared" si="2"/>
        <v>2.0948550360315066</v>
      </c>
      <c r="F9" s="174">
        <f t="shared" si="0"/>
        <v>587</v>
      </c>
      <c r="G9" s="136"/>
      <c r="H9" s="173">
        <f t="shared" si="1"/>
        <v>587</v>
      </c>
    </row>
    <row r="10" spans="1:10" x14ac:dyDescent="0.2">
      <c r="A10" s="168">
        <v>3</v>
      </c>
      <c r="B10" s="154" t="s">
        <v>56</v>
      </c>
      <c r="C10" s="171">
        <v>5</v>
      </c>
      <c r="D10" s="154">
        <v>57.09</v>
      </c>
      <c r="E10" s="154">
        <f t="shared" si="2"/>
        <v>2.1895253109125941</v>
      </c>
      <c r="F10" s="174">
        <f t="shared" si="0"/>
        <v>613</v>
      </c>
      <c r="G10" s="136"/>
      <c r="H10" s="173">
        <f t="shared" si="1"/>
        <v>613</v>
      </c>
    </row>
    <row r="11" spans="1:10" x14ac:dyDescent="0.2">
      <c r="A11" s="168">
        <v>13</v>
      </c>
      <c r="B11" s="154" t="s">
        <v>112</v>
      </c>
      <c r="C11" s="171" t="s">
        <v>43</v>
      </c>
      <c r="D11" s="154">
        <v>0</v>
      </c>
      <c r="E11" s="154">
        <v>0</v>
      </c>
      <c r="F11" s="174">
        <f t="shared" si="0"/>
        <v>0</v>
      </c>
      <c r="G11" s="136"/>
      <c r="H11" s="173">
        <f t="shared" si="1"/>
        <v>0</v>
      </c>
    </row>
    <row r="12" spans="1:10" x14ac:dyDescent="0.2">
      <c r="A12" s="168">
        <v>15</v>
      </c>
      <c r="B12" s="154" t="s">
        <v>103</v>
      </c>
      <c r="C12" s="171">
        <v>5</v>
      </c>
      <c r="D12" s="154">
        <v>80.73</v>
      </c>
      <c r="E12" s="154">
        <f t="shared" ref="E12:E21" si="3">C12^3/D12</f>
        <v>1.5483711135885048</v>
      </c>
      <c r="F12" s="174">
        <f t="shared" si="0"/>
        <v>434</v>
      </c>
      <c r="G12" s="136"/>
      <c r="H12" s="173">
        <f t="shared" si="1"/>
        <v>434</v>
      </c>
    </row>
    <row r="13" spans="1:10" x14ac:dyDescent="0.2">
      <c r="A13" s="168">
        <v>1</v>
      </c>
      <c r="B13" s="154" t="s">
        <v>59</v>
      </c>
      <c r="C13" s="171">
        <v>5</v>
      </c>
      <c r="D13" s="154">
        <v>37.479999999999997</v>
      </c>
      <c r="E13" s="154">
        <f t="shared" si="3"/>
        <v>3.3351120597652084</v>
      </c>
      <c r="F13" s="174">
        <f t="shared" si="0"/>
        <v>934</v>
      </c>
      <c r="G13" s="136"/>
      <c r="H13" s="173">
        <f t="shared" si="1"/>
        <v>934</v>
      </c>
    </row>
    <row r="14" spans="1:10" x14ac:dyDescent="0.2">
      <c r="A14" s="168">
        <v>9</v>
      </c>
      <c r="B14" s="154" t="s">
        <v>102</v>
      </c>
      <c r="C14" s="171">
        <v>5</v>
      </c>
      <c r="D14" s="154">
        <v>51.73</v>
      </c>
      <c r="E14" s="154">
        <f t="shared" si="3"/>
        <v>2.4163928088150013</v>
      </c>
      <c r="F14" s="174">
        <f t="shared" si="0"/>
        <v>677</v>
      </c>
      <c r="G14" s="136"/>
      <c r="H14" s="173">
        <f t="shared" si="1"/>
        <v>677</v>
      </c>
    </row>
    <row r="15" spans="1:10" x14ac:dyDescent="0.2">
      <c r="A15" s="168">
        <v>6</v>
      </c>
      <c r="B15" s="154" t="s">
        <v>58</v>
      </c>
      <c r="C15" s="171">
        <v>5</v>
      </c>
      <c r="D15" s="154">
        <v>49.71</v>
      </c>
      <c r="E15" s="154">
        <f t="shared" si="3"/>
        <v>2.5145845906256286</v>
      </c>
      <c r="F15" s="174">
        <f t="shared" si="0"/>
        <v>704</v>
      </c>
      <c r="G15" s="136"/>
      <c r="H15" s="173">
        <f t="shared" si="1"/>
        <v>704</v>
      </c>
    </row>
    <row r="16" spans="1:10" x14ac:dyDescent="0.2">
      <c r="A16" s="168">
        <v>2</v>
      </c>
      <c r="B16" s="154" t="s">
        <v>105</v>
      </c>
      <c r="C16" s="171">
        <v>5</v>
      </c>
      <c r="D16" s="154">
        <v>38.03</v>
      </c>
      <c r="E16" s="154">
        <f t="shared" si="3"/>
        <v>3.2868787799105967</v>
      </c>
      <c r="F16" s="174">
        <f t="shared" si="0"/>
        <v>920</v>
      </c>
      <c r="G16" s="136"/>
      <c r="H16" s="173">
        <f t="shared" si="1"/>
        <v>920</v>
      </c>
    </row>
    <row r="17" spans="1:8" x14ac:dyDescent="0.2">
      <c r="A17" s="168">
        <v>19</v>
      </c>
      <c r="B17" s="154" t="s">
        <v>99</v>
      </c>
      <c r="C17" s="183">
        <v>5</v>
      </c>
      <c r="D17" s="184">
        <v>35</v>
      </c>
      <c r="E17" s="184">
        <f t="shared" si="3"/>
        <v>3.5714285714285716</v>
      </c>
      <c r="F17" s="174">
        <f t="shared" si="0"/>
        <v>1000</v>
      </c>
      <c r="G17" s="136"/>
      <c r="H17" s="173">
        <f t="shared" si="1"/>
        <v>1000</v>
      </c>
    </row>
    <row r="18" spans="1:8" x14ac:dyDescent="0.2">
      <c r="A18" s="168">
        <v>7</v>
      </c>
      <c r="B18" s="154" t="s">
        <v>113</v>
      </c>
      <c r="C18" s="171">
        <v>5</v>
      </c>
      <c r="D18" s="154">
        <v>40.200000000000003</v>
      </c>
      <c r="E18" s="154">
        <f t="shared" si="3"/>
        <v>3.1094527363184077</v>
      </c>
      <c r="F18" s="174">
        <f t="shared" si="0"/>
        <v>871</v>
      </c>
      <c r="G18" s="136"/>
      <c r="H18" s="173">
        <f t="shared" si="1"/>
        <v>871</v>
      </c>
    </row>
    <row r="19" spans="1:8" x14ac:dyDescent="0.2">
      <c r="A19" s="168">
        <v>5</v>
      </c>
      <c r="B19" s="154" t="s">
        <v>97</v>
      </c>
      <c r="C19" s="183">
        <v>5</v>
      </c>
      <c r="D19" s="184">
        <v>45.62</v>
      </c>
      <c r="E19" s="184">
        <f t="shared" si="3"/>
        <v>2.7400263042525208</v>
      </c>
      <c r="F19" s="174">
        <f t="shared" si="0"/>
        <v>767</v>
      </c>
      <c r="G19" s="136"/>
      <c r="H19" s="173">
        <f t="shared" si="1"/>
        <v>767</v>
      </c>
    </row>
    <row r="20" spans="1:8" x14ac:dyDescent="0.2">
      <c r="A20" s="168">
        <v>4</v>
      </c>
      <c r="B20" s="154" t="s">
        <v>109</v>
      </c>
      <c r="C20" s="183">
        <v>5</v>
      </c>
      <c r="D20" s="184">
        <v>49.75</v>
      </c>
      <c r="E20" s="184">
        <f t="shared" si="3"/>
        <v>2.512562814070352</v>
      </c>
      <c r="F20" s="174">
        <f t="shared" si="0"/>
        <v>704</v>
      </c>
      <c r="G20" s="136"/>
      <c r="H20" s="173">
        <f t="shared" si="1"/>
        <v>704</v>
      </c>
    </row>
    <row r="21" spans="1:8" x14ac:dyDescent="0.2">
      <c r="A21" s="168">
        <v>12</v>
      </c>
      <c r="B21" s="154" t="s">
        <v>104</v>
      </c>
      <c r="C21" s="171">
        <v>5</v>
      </c>
      <c r="D21" s="154">
        <v>40.119999999999997</v>
      </c>
      <c r="E21" s="154">
        <f t="shared" si="3"/>
        <v>3.1156530408773682</v>
      </c>
      <c r="F21" s="174">
        <f t="shared" si="0"/>
        <v>872</v>
      </c>
      <c r="G21" s="136"/>
      <c r="H21" s="173">
        <f t="shared" si="1"/>
        <v>872</v>
      </c>
    </row>
    <row r="22" spans="1:8" ht="13.5" thickBot="1" x14ac:dyDescent="0.25">
      <c r="A22" s="178">
        <v>8</v>
      </c>
      <c r="B22" s="155" t="s">
        <v>106</v>
      </c>
      <c r="C22" s="172" t="s">
        <v>43</v>
      </c>
      <c r="D22" s="155">
        <v>0</v>
      </c>
      <c r="E22" s="155">
        <v>0</v>
      </c>
      <c r="F22" s="175">
        <f t="shared" si="0"/>
        <v>0</v>
      </c>
      <c r="G22" s="203"/>
      <c r="H22" s="204">
        <f t="shared" si="1"/>
        <v>0</v>
      </c>
    </row>
    <row r="23" spans="1:8" ht="15" x14ac:dyDescent="0.25">
      <c r="A23"/>
      <c r="B23"/>
    </row>
  </sheetData>
  <sortState ref="A4:H22">
    <sortCondition ref="B4:B22"/>
  </sortState>
  <pageMargins left="0.70866141732283472" right="0.70866141732283472" top="0.74803149606299213" bottom="0.74803149606299213" header="0.31496062992125984" footer="0.31496062992125984"/>
  <pageSetup paperSize="9" scale="93" orientation="portrait" verticalDpi="0" r:id="rId1"/>
  <headerFooter>
    <oddHeader>&amp;C&amp;A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H22"/>
  <sheetViews>
    <sheetView zoomScaleNormal="100" workbookViewId="0">
      <selection activeCell="A3" sqref="A3:E22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7.85546875" style="111" bestFit="1" customWidth="1"/>
    <col min="4" max="4" width="6" style="111" bestFit="1" customWidth="1"/>
    <col min="5" max="5" width="38.7109375" style="111" bestFit="1" customWidth="1"/>
    <col min="6" max="6" width="14.42578125" style="111" customWidth="1"/>
    <col min="7" max="7" width="6.7109375" style="111" bestFit="1" customWidth="1"/>
    <col min="8" max="16384" width="8.85546875" style="111"/>
  </cols>
  <sheetData>
    <row r="1" spans="1:8" x14ac:dyDescent="0.2">
      <c r="B1" s="211" t="s">
        <v>146</v>
      </c>
      <c r="C1" s="210">
        <v>1.1000000000000001</v>
      </c>
    </row>
    <row r="2" spans="1:8" ht="13.5" thickBot="1" x14ac:dyDescent="0.25">
      <c r="C2" s="157"/>
    </row>
    <row r="3" spans="1:8" ht="26.25" thickBot="1" x14ac:dyDescent="0.25">
      <c r="A3" s="159" t="s">
        <v>126</v>
      </c>
      <c r="B3" s="152" t="s">
        <v>21</v>
      </c>
      <c r="C3" s="169" t="s">
        <v>51</v>
      </c>
      <c r="D3" s="176" t="s">
        <v>22</v>
      </c>
    </row>
    <row r="4" spans="1:8" x14ac:dyDescent="0.2">
      <c r="A4" s="153">
        <v>14</v>
      </c>
      <c r="B4" s="153" t="s">
        <v>100</v>
      </c>
      <c r="C4" s="193" t="s">
        <v>43</v>
      </c>
      <c r="D4" s="161">
        <v>0</v>
      </c>
      <c r="E4" s="187"/>
      <c r="G4" s="111" t="s">
        <v>12</v>
      </c>
      <c r="H4" s="132">
        <v>20</v>
      </c>
    </row>
    <row r="5" spans="1:8" x14ac:dyDescent="0.2">
      <c r="A5" s="168">
        <v>17</v>
      </c>
      <c r="B5" s="154" t="s">
        <v>108</v>
      </c>
      <c r="C5" s="207">
        <v>0</v>
      </c>
      <c r="D5" s="208">
        <f t="shared" ref="D5:D10" si="0">(C5*$H$4)</f>
        <v>0</v>
      </c>
    </row>
    <row r="6" spans="1:8" x14ac:dyDescent="0.2">
      <c r="A6" s="168">
        <v>16</v>
      </c>
      <c r="B6" s="154" t="s">
        <v>101</v>
      </c>
      <c r="C6" s="207">
        <v>5</v>
      </c>
      <c r="D6" s="208">
        <f t="shared" si="0"/>
        <v>100</v>
      </c>
    </row>
    <row r="7" spans="1:8" x14ac:dyDescent="0.2">
      <c r="A7" s="168">
        <v>18</v>
      </c>
      <c r="B7" s="154" t="s">
        <v>107</v>
      </c>
      <c r="C7" s="207">
        <v>5</v>
      </c>
      <c r="D7" s="208">
        <f t="shared" si="0"/>
        <v>100</v>
      </c>
      <c r="E7" s="111" t="s">
        <v>132</v>
      </c>
      <c r="F7" s="187"/>
      <c r="G7" s="187"/>
    </row>
    <row r="8" spans="1:8" x14ac:dyDescent="0.2">
      <c r="A8" s="168">
        <v>10</v>
      </c>
      <c r="B8" s="154" t="s">
        <v>110</v>
      </c>
      <c r="C8" s="207">
        <v>1</v>
      </c>
      <c r="D8" s="208">
        <f t="shared" si="0"/>
        <v>20</v>
      </c>
      <c r="E8" s="187"/>
      <c r="F8" s="187"/>
      <c r="G8" s="187"/>
    </row>
    <row r="9" spans="1:8" x14ac:dyDescent="0.2">
      <c r="A9" s="168">
        <v>11</v>
      </c>
      <c r="B9" s="154" t="s">
        <v>111</v>
      </c>
      <c r="C9" s="207">
        <v>0</v>
      </c>
      <c r="D9" s="208">
        <f t="shared" si="0"/>
        <v>0</v>
      </c>
      <c r="E9" s="209"/>
    </row>
    <row r="10" spans="1:8" x14ac:dyDescent="0.2">
      <c r="A10" s="168">
        <v>3</v>
      </c>
      <c r="B10" s="154" t="s">
        <v>56</v>
      </c>
      <c r="C10" s="207">
        <v>5</v>
      </c>
      <c r="D10" s="208">
        <f t="shared" si="0"/>
        <v>100</v>
      </c>
      <c r="E10" s="187"/>
    </row>
    <row r="11" spans="1:8" x14ac:dyDescent="0.2">
      <c r="A11" s="168">
        <v>13</v>
      </c>
      <c r="B11" s="154" t="s">
        <v>112</v>
      </c>
      <c r="C11" s="207" t="s">
        <v>43</v>
      </c>
      <c r="D11" s="208">
        <v>0</v>
      </c>
      <c r="E11" s="187"/>
    </row>
    <row r="12" spans="1:8" x14ac:dyDescent="0.2">
      <c r="A12" s="168">
        <v>15</v>
      </c>
      <c r="B12" s="154" t="s">
        <v>103</v>
      </c>
      <c r="C12" s="207">
        <v>0</v>
      </c>
      <c r="D12" s="208">
        <f t="shared" ref="D12:D21" si="1">(C12*$H$4)</f>
        <v>0</v>
      </c>
      <c r="E12" s="187" t="s">
        <v>138</v>
      </c>
    </row>
    <row r="13" spans="1:8" x14ac:dyDescent="0.2">
      <c r="A13" s="168">
        <v>1</v>
      </c>
      <c r="B13" s="154" t="s">
        <v>59</v>
      </c>
      <c r="C13" s="207">
        <v>5</v>
      </c>
      <c r="D13" s="208">
        <f t="shared" si="1"/>
        <v>100</v>
      </c>
      <c r="E13" s="187"/>
    </row>
    <row r="14" spans="1:8" x14ac:dyDescent="0.2">
      <c r="A14" s="168">
        <v>9</v>
      </c>
      <c r="B14" s="154" t="s">
        <v>102</v>
      </c>
      <c r="C14" s="207">
        <v>0</v>
      </c>
      <c r="D14" s="208">
        <f t="shared" si="1"/>
        <v>0</v>
      </c>
      <c r="E14" s="187" t="s">
        <v>133</v>
      </c>
    </row>
    <row r="15" spans="1:8" x14ac:dyDescent="0.2">
      <c r="A15" s="168">
        <v>6</v>
      </c>
      <c r="B15" s="154" t="s">
        <v>58</v>
      </c>
      <c r="C15" s="207">
        <v>5</v>
      </c>
      <c r="D15" s="208">
        <f t="shared" si="1"/>
        <v>100</v>
      </c>
      <c r="E15" s="187"/>
    </row>
    <row r="16" spans="1:8" x14ac:dyDescent="0.2">
      <c r="A16" s="168">
        <v>2</v>
      </c>
      <c r="B16" s="154" t="s">
        <v>105</v>
      </c>
      <c r="C16" s="207">
        <v>0</v>
      </c>
      <c r="D16" s="208">
        <f t="shared" si="1"/>
        <v>0</v>
      </c>
      <c r="E16" s="187"/>
    </row>
    <row r="17" spans="1:5" x14ac:dyDescent="0.2">
      <c r="A17" s="168">
        <v>19</v>
      </c>
      <c r="B17" s="154" t="s">
        <v>99</v>
      </c>
      <c r="C17" s="207">
        <v>5</v>
      </c>
      <c r="D17" s="208">
        <f t="shared" si="1"/>
        <v>100</v>
      </c>
    </row>
    <row r="18" spans="1:5" x14ac:dyDescent="0.2">
      <c r="A18" s="168">
        <v>7</v>
      </c>
      <c r="B18" s="154" t="s">
        <v>113</v>
      </c>
      <c r="C18" s="207">
        <v>3</v>
      </c>
      <c r="D18" s="208">
        <f t="shared" si="1"/>
        <v>60</v>
      </c>
      <c r="E18" s="187"/>
    </row>
    <row r="19" spans="1:5" x14ac:dyDescent="0.2">
      <c r="A19" s="168">
        <v>5</v>
      </c>
      <c r="B19" s="154" t="s">
        <v>97</v>
      </c>
      <c r="C19" s="207">
        <v>5</v>
      </c>
      <c r="D19" s="208">
        <f t="shared" si="1"/>
        <v>100</v>
      </c>
      <c r="E19" s="187"/>
    </row>
    <row r="20" spans="1:5" x14ac:dyDescent="0.2">
      <c r="A20" s="168">
        <v>4</v>
      </c>
      <c r="B20" s="154" t="s">
        <v>109</v>
      </c>
      <c r="C20" s="207">
        <v>1</v>
      </c>
      <c r="D20" s="208">
        <f t="shared" si="1"/>
        <v>20</v>
      </c>
      <c r="E20" s="187"/>
    </row>
    <row r="21" spans="1:5" x14ac:dyDescent="0.2">
      <c r="A21" s="168">
        <v>12</v>
      </c>
      <c r="B21" s="154" t="s">
        <v>104</v>
      </c>
      <c r="C21" s="207">
        <v>0</v>
      </c>
      <c r="D21" s="208">
        <f t="shared" si="1"/>
        <v>0</v>
      </c>
      <c r="E21" s="187"/>
    </row>
    <row r="22" spans="1:5" ht="13.5" thickBot="1" x14ac:dyDescent="0.25">
      <c r="A22" s="178">
        <v>8</v>
      </c>
      <c r="B22" s="155" t="s">
        <v>106</v>
      </c>
      <c r="C22" s="212" t="s">
        <v>43</v>
      </c>
      <c r="D22" s="213">
        <v>0</v>
      </c>
      <c r="E22" s="187"/>
    </row>
  </sheetData>
  <sortState ref="A4:E22">
    <sortCondition ref="B4:B22"/>
  </sortState>
  <phoneticPr fontId="28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H22"/>
  <sheetViews>
    <sheetView zoomScaleNormal="100" workbookViewId="0">
      <selection activeCell="N22" sqref="N22"/>
    </sheetView>
  </sheetViews>
  <sheetFormatPr defaultColWidth="8.85546875" defaultRowHeight="12.75" x14ac:dyDescent="0.2"/>
  <cols>
    <col min="1" max="1" width="6" style="111" customWidth="1"/>
    <col min="2" max="2" width="18" style="111" bestFit="1" customWidth="1"/>
    <col min="3" max="3" width="9.140625" style="111" bestFit="1" customWidth="1"/>
    <col min="4" max="4" width="7.85546875" style="189" bestFit="1" customWidth="1"/>
    <col min="5" max="5" width="5.85546875" style="111" bestFit="1" customWidth="1"/>
    <col min="6" max="6" width="16.5703125" style="111" bestFit="1" customWidth="1"/>
    <col min="7" max="7" width="6" style="111" bestFit="1" customWidth="1"/>
    <col min="8" max="8" width="4" style="111" bestFit="1" customWidth="1"/>
    <col min="9" max="16384" width="8.85546875" style="111"/>
  </cols>
  <sheetData>
    <row r="1" spans="1:8" x14ac:dyDescent="0.2">
      <c r="C1" s="337" t="s">
        <v>149</v>
      </c>
      <c r="D1" s="337"/>
      <c r="E1" s="111">
        <v>1.1100000000000001</v>
      </c>
    </row>
    <row r="2" spans="1:8" ht="13.5" thickBot="1" x14ac:dyDescent="0.25">
      <c r="C2" s="157"/>
      <c r="D2" s="185"/>
    </row>
    <row r="3" spans="1:8" ht="26.25" thickBot="1" x14ac:dyDescent="0.25">
      <c r="A3" s="159" t="s">
        <v>126</v>
      </c>
      <c r="B3" s="152" t="s">
        <v>21</v>
      </c>
      <c r="C3" s="192" t="s">
        <v>130</v>
      </c>
      <c r="D3" s="186" t="s">
        <v>91</v>
      </c>
      <c r="E3" s="196" t="s">
        <v>22</v>
      </c>
      <c r="F3" s="187"/>
    </row>
    <row r="4" spans="1:8" x14ac:dyDescent="0.2">
      <c r="A4" s="153">
        <v>14</v>
      </c>
      <c r="B4" s="153" t="s">
        <v>100</v>
      </c>
      <c r="C4" s="193" t="s">
        <v>43</v>
      </c>
      <c r="D4" s="197"/>
      <c r="E4" s="190">
        <v>0</v>
      </c>
      <c r="F4" s="187"/>
      <c r="G4" s="111" t="s">
        <v>12</v>
      </c>
      <c r="H4" s="132">
        <v>100</v>
      </c>
    </row>
    <row r="5" spans="1:8" x14ac:dyDescent="0.2">
      <c r="A5" s="168">
        <v>17</v>
      </c>
      <c r="B5" s="154" t="s">
        <v>108</v>
      </c>
      <c r="C5" s="194">
        <v>13.2</v>
      </c>
      <c r="D5" s="198">
        <v>1</v>
      </c>
      <c r="E5" s="188">
        <f t="shared" ref="E5:E10" si="0">IF(D5=1,MIN($C$4:$C$19)/C5*$H$4,IF(D5=2,MIN($C$4:$C$19)/C5*$H$5,MIN($C$4:$C$19)/C5*$H$6))</f>
        <v>55.303030303030312</v>
      </c>
      <c r="F5" s="187"/>
      <c r="H5" s="132">
        <v>75</v>
      </c>
    </row>
    <row r="6" spans="1:8" x14ac:dyDescent="0.2">
      <c r="A6" s="168">
        <v>16</v>
      </c>
      <c r="B6" s="154" t="s">
        <v>101</v>
      </c>
      <c r="C6" s="194">
        <v>17.3</v>
      </c>
      <c r="D6" s="198">
        <v>1</v>
      </c>
      <c r="E6" s="188">
        <f t="shared" si="0"/>
        <v>42.19653179190751</v>
      </c>
      <c r="F6" s="187"/>
      <c r="H6" s="132">
        <v>50</v>
      </c>
    </row>
    <row r="7" spans="1:8" x14ac:dyDescent="0.2">
      <c r="A7" s="168">
        <v>18</v>
      </c>
      <c r="B7" s="154" t="s">
        <v>107</v>
      </c>
      <c r="C7" s="194">
        <v>11.7</v>
      </c>
      <c r="D7" s="198">
        <v>1</v>
      </c>
      <c r="E7" s="188">
        <f t="shared" si="0"/>
        <v>62.393162393162392</v>
      </c>
      <c r="F7" s="187"/>
    </row>
    <row r="8" spans="1:8" x14ac:dyDescent="0.2">
      <c r="A8" s="168">
        <v>10</v>
      </c>
      <c r="B8" s="154" t="s">
        <v>110</v>
      </c>
      <c r="C8" s="194">
        <v>17.3</v>
      </c>
      <c r="D8" s="198">
        <v>1</v>
      </c>
      <c r="E8" s="188">
        <f t="shared" si="0"/>
        <v>42.19653179190751</v>
      </c>
      <c r="F8" s="187"/>
    </row>
    <row r="9" spans="1:8" x14ac:dyDescent="0.2">
      <c r="A9" s="168">
        <v>11</v>
      </c>
      <c r="B9" s="154" t="s">
        <v>111</v>
      </c>
      <c r="C9" s="194">
        <v>40.299999999999997</v>
      </c>
      <c r="D9" s="198">
        <v>1</v>
      </c>
      <c r="E9" s="188">
        <f t="shared" si="0"/>
        <v>18.114143920595534</v>
      </c>
      <c r="F9" s="187"/>
    </row>
    <row r="10" spans="1:8" x14ac:dyDescent="0.2">
      <c r="A10" s="168">
        <v>3</v>
      </c>
      <c r="B10" s="154" t="s">
        <v>56</v>
      </c>
      <c r="C10" s="194">
        <v>19.7</v>
      </c>
      <c r="D10" s="198">
        <v>1</v>
      </c>
      <c r="E10" s="188">
        <f t="shared" si="0"/>
        <v>37.055837563451774</v>
      </c>
      <c r="F10" s="187"/>
    </row>
    <row r="11" spans="1:8" x14ac:dyDescent="0.2">
      <c r="A11" s="168">
        <v>13</v>
      </c>
      <c r="B11" s="154" t="s">
        <v>112</v>
      </c>
      <c r="C11" s="194" t="s">
        <v>43</v>
      </c>
      <c r="D11" s="198"/>
      <c r="E11" s="188">
        <v>0</v>
      </c>
      <c r="F11" s="187"/>
    </row>
    <row r="12" spans="1:8" x14ac:dyDescent="0.2">
      <c r="A12" s="168">
        <v>15</v>
      </c>
      <c r="B12" s="154" t="s">
        <v>103</v>
      </c>
      <c r="C12" s="194">
        <v>32.4</v>
      </c>
      <c r="D12" s="198">
        <v>1</v>
      </c>
      <c r="E12" s="188">
        <f t="shared" ref="E12:E21" si="1">IF(D12=1,MIN($C$4:$C$19)/C12*$H$4,IF(D12=2,MIN($C$4:$C$19)/C12*$H$5,MIN($C$4:$C$19)/C12*$H$6))</f>
        <v>22.530864197530864</v>
      </c>
      <c r="F12" s="187"/>
    </row>
    <row r="13" spans="1:8" x14ac:dyDescent="0.2">
      <c r="A13" s="168">
        <v>1</v>
      </c>
      <c r="B13" s="154" t="s">
        <v>59</v>
      </c>
      <c r="C13" s="194">
        <v>9.9</v>
      </c>
      <c r="D13" s="198">
        <v>1</v>
      </c>
      <c r="E13" s="188">
        <f t="shared" si="1"/>
        <v>73.73737373737373</v>
      </c>
      <c r="F13" s="187"/>
    </row>
    <row r="14" spans="1:8" x14ac:dyDescent="0.2">
      <c r="A14" s="168">
        <v>9</v>
      </c>
      <c r="B14" s="154" t="s">
        <v>102</v>
      </c>
      <c r="C14" s="194">
        <v>50.5</v>
      </c>
      <c r="D14" s="198">
        <v>1</v>
      </c>
      <c r="E14" s="188">
        <f t="shared" si="1"/>
        <v>14.455445544554454</v>
      </c>
      <c r="F14" s="187"/>
    </row>
    <row r="15" spans="1:8" x14ac:dyDescent="0.2">
      <c r="A15" s="168">
        <v>6</v>
      </c>
      <c r="B15" s="154" t="s">
        <v>58</v>
      </c>
      <c r="C15" s="194">
        <v>14.8</v>
      </c>
      <c r="D15" s="198">
        <v>1</v>
      </c>
      <c r="E15" s="188">
        <f t="shared" si="1"/>
        <v>49.324324324324323</v>
      </c>
    </row>
    <row r="16" spans="1:8" x14ac:dyDescent="0.2">
      <c r="A16" s="168">
        <v>2</v>
      </c>
      <c r="B16" s="154" t="s">
        <v>105</v>
      </c>
      <c r="C16" s="194">
        <v>19.100000000000001</v>
      </c>
      <c r="D16" s="198">
        <v>1</v>
      </c>
      <c r="E16" s="188">
        <f t="shared" si="1"/>
        <v>38.21989528795811</v>
      </c>
    </row>
    <row r="17" spans="1:5" x14ac:dyDescent="0.2">
      <c r="A17" s="168">
        <v>19</v>
      </c>
      <c r="B17" s="154" t="s">
        <v>99</v>
      </c>
      <c r="C17" s="194">
        <v>7.3</v>
      </c>
      <c r="D17" s="198">
        <v>1</v>
      </c>
      <c r="E17" s="188">
        <f t="shared" si="1"/>
        <v>100</v>
      </c>
    </row>
    <row r="18" spans="1:5" x14ac:dyDescent="0.2">
      <c r="A18" s="168">
        <v>7</v>
      </c>
      <c r="B18" s="154" t="s">
        <v>113</v>
      </c>
      <c r="C18" s="194">
        <v>10.3</v>
      </c>
      <c r="D18" s="198">
        <v>1</v>
      </c>
      <c r="E18" s="188">
        <f t="shared" si="1"/>
        <v>70.873786407766985</v>
      </c>
    </row>
    <row r="19" spans="1:5" x14ac:dyDescent="0.2">
      <c r="A19" s="168">
        <v>5</v>
      </c>
      <c r="B19" s="154" t="s">
        <v>97</v>
      </c>
      <c r="C19" s="194">
        <v>19.3</v>
      </c>
      <c r="D19" s="198">
        <v>1</v>
      </c>
      <c r="E19" s="188">
        <f t="shared" si="1"/>
        <v>37.823834196891184</v>
      </c>
    </row>
    <row r="20" spans="1:5" x14ac:dyDescent="0.2">
      <c r="A20" s="168">
        <v>4</v>
      </c>
      <c r="B20" s="154" t="s">
        <v>109</v>
      </c>
      <c r="C20" s="194">
        <v>38.799999999999997</v>
      </c>
      <c r="D20" s="198">
        <v>1</v>
      </c>
      <c r="E20" s="188">
        <f t="shared" si="1"/>
        <v>18.814432989690722</v>
      </c>
    </row>
    <row r="21" spans="1:5" x14ac:dyDescent="0.2">
      <c r="A21" s="168">
        <v>12</v>
      </c>
      <c r="B21" s="154" t="s">
        <v>104</v>
      </c>
      <c r="C21" s="194">
        <v>9.1999999999999993</v>
      </c>
      <c r="D21" s="198">
        <v>1</v>
      </c>
      <c r="E21" s="188">
        <f t="shared" si="1"/>
        <v>79.34782608695653</v>
      </c>
    </row>
    <row r="22" spans="1:5" ht="13.5" thickBot="1" x14ac:dyDescent="0.25">
      <c r="A22" s="178">
        <v>8</v>
      </c>
      <c r="B22" s="155" t="s">
        <v>106</v>
      </c>
      <c r="C22" s="195" t="s">
        <v>43</v>
      </c>
      <c r="D22" s="199"/>
      <c r="E22" s="191">
        <v>0</v>
      </c>
    </row>
  </sheetData>
  <sortState ref="A4:E22">
    <sortCondition ref="B4:B22"/>
  </sortState>
  <mergeCells count="1">
    <mergeCell ref="C1:D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K23"/>
  <sheetViews>
    <sheetView zoomScaleNormal="100" workbookViewId="0">
      <selection activeCell="G3" sqref="G3"/>
    </sheetView>
  </sheetViews>
  <sheetFormatPr defaultColWidth="8.85546875" defaultRowHeight="12.75" x14ac:dyDescent="0.2"/>
  <cols>
    <col min="1" max="1" width="6" style="111" bestFit="1" customWidth="1"/>
    <col min="2" max="2" width="18.28515625" style="111" bestFit="1" customWidth="1"/>
    <col min="3" max="3" width="13.140625" style="111" customWidth="1"/>
    <col min="4" max="4" width="8.85546875" style="111" bestFit="1" customWidth="1"/>
    <col min="5" max="5" width="12" style="111" hidden="1" customWidth="1"/>
    <col min="6" max="6" width="5.85546875" style="111" bestFit="1" customWidth="1"/>
    <col min="7" max="7" width="7" style="111" customWidth="1"/>
    <col min="8" max="8" width="6.28515625" style="111" customWidth="1"/>
    <col min="9" max="9" width="15.140625" style="111" bestFit="1" customWidth="1"/>
    <col min="10" max="16384" width="8.85546875" style="111"/>
  </cols>
  <sheetData>
    <row r="1" spans="1:11" x14ac:dyDescent="0.2">
      <c r="C1" s="206" t="s">
        <v>142</v>
      </c>
      <c r="D1" s="167" t="s">
        <v>143</v>
      </c>
    </row>
    <row r="2" spans="1:11" ht="13.5" thickBot="1" x14ac:dyDescent="0.25">
      <c r="C2" s="157"/>
    </row>
    <row r="3" spans="1:11" ht="39" thickBot="1" x14ac:dyDescent="0.25">
      <c r="A3" s="176" t="s">
        <v>126</v>
      </c>
      <c r="B3" s="114" t="s">
        <v>21</v>
      </c>
      <c r="C3" s="169" t="s">
        <v>124</v>
      </c>
      <c r="D3" s="176" t="s">
        <v>45</v>
      </c>
      <c r="E3" s="176" t="s">
        <v>13</v>
      </c>
      <c r="F3" s="177" t="s">
        <v>22</v>
      </c>
      <c r="G3" s="117" t="s">
        <v>28</v>
      </c>
      <c r="H3" s="177" t="s">
        <v>6</v>
      </c>
    </row>
    <row r="4" spans="1:11" x14ac:dyDescent="0.2">
      <c r="A4" s="153">
        <v>14</v>
      </c>
      <c r="B4" s="153" t="s">
        <v>100</v>
      </c>
      <c r="C4" s="200" t="s">
        <v>43</v>
      </c>
      <c r="D4" s="153">
        <v>0</v>
      </c>
      <c r="E4" s="153">
        <v>0</v>
      </c>
      <c r="F4" s="201">
        <f t="shared" ref="F4:F22" si="0">ROUND($K$5*E4/MAX($E$4:$E$22),0)</f>
        <v>0</v>
      </c>
      <c r="G4" s="202"/>
      <c r="H4" s="201">
        <f t="shared" ref="H4:H22" si="1">ROUND(F4-F4*G4,0)</f>
        <v>0</v>
      </c>
    </row>
    <row r="5" spans="1:11" x14ac:dyDescent="0.2">
      <c r="A5" s="168">
        <v>17</v>
      </c>
      <c r="B5" s="154" t="s">
        <v>108</v>
      </c>
      <c r="C5" s="171">
        <v>3</v>
      </c>
      <c r="D5" s="154">
        <v>39.94</v>
      </c>
      <c r="E5" s="154">
        <f t="shared" ref="E5:E10" si="2">C5^3/D5</f>
        <v>0.6760140210315474</v>
      </c>
      <c r="F5" s="174">
        <f t="shared" si="0"/>
        <v>674</v>
      </c>
      <c r="G5" s="136"/>
      <c r="H5" s="173">
        <f t="shared" si="1"/>
        <v>674</v>
      </c>
      <c r="J5" s="111" t="s">
        <v>11</v>
      </c>
      <c r="K5" s="166">
        <v>1000</v>
      </c>
    </row>
    <row r="6" spans="1:11" x14ac:dyDescent="0.2">
      <c r="A6" s="168">
        <v>16</v>
      </c>
      <c r="B6" s="154" t="s">
        <v>101</v>
      </c>
      <c r="C6" s="171">
        <v>3</v>
      </c>
      <c r="D6" s="154">
        <v>43.89</v>
      </c>
      <c r="E6" s="154">
        <f t="shared" si="2"/>
        <v>0.61517429938482571</v>
      </c>
      <c r="F6" s="174">
        <f t="shared" si="0"/>
        <v>613</v>
      </c>
      <c r="G6" s="136"/>
      <c r="H6" s="173">
        <f t="shared" si="1"/>
        <v>613</v>
      </c>
    </row>
    <row r="7" spans="1:11" x14ac:dyDescent="0.2">
      <c r="A7" s="168">
        <v>18</v>
      </c>
      <c r="B7" s="154" t="s">
        <v>107</v>
      </c>
      <c r="C7" s="171">
        <v>3</v>
      </c>
      <c r="D7" s="154">
        <v>27.08</v>
      </c>
      <c r="E7" s="154">
        <f t="shared" si="2"/>
        <v>0.99704579025110784</v>
      </c>
      <c r="F7" s="174">
        <f t="shared" si="0"/>
        <v>994</v>
      </c>
      <c r="G7" s="136"/>
      <c r="H7" s="173">
        <f t="shared" si="1"/>
        <v>994</v>
      </c>
    </row>
    <row r="8" spans="1:11" x14ac:dyDescent="0.2">
      <c r="A8" s="168">
        <v>10</v>
      </c>
      <c r="B8" s="154" t="s">
        <v>110</v>
      </c>
      <c r="C8" s="183">
        <v>3</v>
      </c>
      <c r="D8" s="184">
        <v>42.15</v>
      </c>
      <c r="E8" s="184">
        <f t="shared" si="2"/>
        <v>0.64056939501779364</v>
      </c>
      <c r="F8" s="174">
        <f t="shared" si="0"/>
        <v>639</v>
      </c>
      <c r="G8" s="136"/>
      <c r="H8" s="173">
        <f t="shared" si="1"/>
        <v>639</v>
      </c>
    </row>
    <row r="9" spans="1:11" x14ac:dyDescent="0.2">
      <c r="A9" s="168">
        <v>11</v>
      </c>
      <c r="B9" s="154" t="s">
        <v>111</v>
      </c>
      <c r="C9" s="171">
        <v>3</v>
      </c>
      <c r="D9" s="154">
        <v>54.56</v>
      </c>
      <c r="E9" s="154">
        <f t="shared" si="2"/>
        <v>0.49486803519061584</v>
      </c>
      <c r="F9" s="174">
        <f t="shared" si="0"/>
        <v>493</v>
      </c>
      <c r="G9" s="136"/>
      <c r="H9" s="173">
        <f t="shared" si="1"/>
        <v>493</v>
      </c>
    </row>
    <row r="10" spans="1:11" x14ac:dyDescent="0.2">
      <c r="A10" s="168">
        <v>3</v>
      </c>
      <c r="B10" s="154" t="s">
        <v>56</v>
      </c>
      <c r="C10" s="171">
        <v>3</v>
      </c>
      <c r="D10" s="154">
        <v>50.23</v>
      </c>
      <c r="E10" s="154">
        <f t="shared" si="2"/>
        <v>0.53752737407923556</v>
      </c>
      <c r="F10" s="174">
        <f t="shared" si="0"/>
        <v>536</v>
      </c>
      <c r="G10" s="136"/>
      <c r="H10" s="173">
        <f t="shared" si="1"/>
        <v>536</v>
      </c>
    </row>
    <row r="11" spans="1:11" x14ac:dyDescent="0.2">
      <c r="A11" s="168">
        <v>13</v>
      </c>
      <c r="B11" s="154" t="s">
        <v>112</v>
      </c>
      <c r="C11" s="171" t="s">
        <v>43</v>
      </c>
      <c r="D11" s="154">
        <v>0</v>
      </c>
      <c r="E11" s="154">
        <v>0</v>
      </c>
      <c r="F11" s="174">
        <f t="shared" si="0"/>
        <v>0</v>
      </c>
      <c r="G11" s="136"/>
      <c r="H11" s="173">
        <f t="shared" si="1"/>
        <v>0</v>
      </c>
    </row>
    <row r="12" spans="1:11" x14ac:dyDescent="0.2">
      <c r="A12" s="168">
        <v>15</v>
      </c>
      <c r="B12" s="154" t="s">
        <v>103</v>
      </c>
      <c r="C12" s="171">
        <v>3</v>
      </c>
      <c r="D12" s="154">
        <v>0</v>
      </c>
      <c r="E12" s="154">
        <v>0</v>
      </c>
      <c r="F12" s="174">
        <f t="shared" si="0"/>
        <v>0</v>
      </c>
      <c r="G12" s="136"/>
      <c r="H12" s="173">
        <f t="shared" si="1"/>
        <v>0</v>
      </c>
      <c r="I12" s="111" t="s">
        <v>144</v>
      </c>
    </row>
    <row r="13" spans="1:11" x14ac:dyDescent="0.2">
      <c r="A13" s="168">
        <v>1</v>
      </c>
      <c r="B13" s="154" t="s">
        <v>59</v>
      </c>
      <c r="C13" s="171">
        <v>3</v>
      </c>
      <c r="D13" s="154">
        <v>28.12</v>
      </c>
      <c r="E13" s="154">
        <f t="shared" ref="E13:E21" si="3">C13^3/D13</f>
        <v>0.96017069701280222</v>
      </c>
      <c r="F13" s="174">
        <f t="shared" si="0"/>
        <v>957</v>
      </c>
      <c r="G13" s="136"/>
      <c r="H13" s="173">
        <f t="shared" si="1"/>
        <v>957</v>
      </c>
    </row>
    <row r="14" spans="1:11" x14ac:dyDescent="0.2">
      <c r="A14" s="168">
        <v>9</v>
      </c>
      <c r="B14" s="154" t="s">
        <v>102</v>
      </c>
      <c r="C14" s="171">
        <v>3</v>
      </c>
      <c r="D14" s="154">
        <v>43.73</v>
      </c>
      <c r="E14" s="154">
        <f t="shared" si="3"/>
        <v>0.61742510862108402</v>
      </c>
      <c r="F14" s="174">
        <f t="shared" si="0"/>
        <v>616</v>
      </c>
      <c r="G14" s="136"/>
      <c r="H14" s="173">
        <f t="shared" si="1"/>
        <v>616</v>
      </c>
    </row>
    <row r="15" spans="1:11" x14ac:dyDescent="0.2">
      <c r="A15" s="168">
        <v>6</v>
      </c>
      <c r="B15" s="154" t="s">
        <v>58</v>
      </c>
      <c r="C15" s="171">
        <v>3</v>
      </c>
      <c r="D15" s="154">
        <v>51.54</v>
      </c>
      <c r="E15" s="154">
        <f t="shared" si="3"/>
        <v>0.52386495925494758</v>
      </c>
      <c r="F15" s="174">
        <f t="shared" si="0"/>
        <v>522</v>
      </c>
      <c r="G15" s="136"/>
      <c r="H15" s="173">
        <f t="shared" si="1"/>
        <v>522</v>
      </c>
    </row>
    <row r="16" spans="1:11" x14ac:dyDescent="0.2">
      <c r="A16" s="168">
        <v>2</v>
      </c>
      <c r="B16" s="154" t="s">
        <v>105</v>
      </c>
      <c r="C16" s="171">
        <v>3</v>
      </c>
      <c r="D16" s="154">
        <v>30.5</v>
      </c>
      <c r="E16" s="154">
        <f t="shared" si="3"/>
        <v>0.88524590163934425</v>
      </c>
      <c r="F16" s="174">
        <f t="shared" si="0"/>
        <v>883</v>
      </c>
      <c r="G16" s="136"/>
      <c r="H16" s="173">
        <f t="shared" si="1"/>
        <v>883</v>
      </c>
    </row>
    <row r="17" spans="1:8" x14ac:dyDescent="0.2">
      <c r="A17" s="168">
        <v>19</v>
      </c>
      <c r="B17" s="154" t="s">
        <v>99</v>
      </c>
      <c r="C17" s="183">
        <v>3</v>
      </c>
      <c r="D17" s="184">
        <v>26.92</v>
      </c>
      <c r="E17" s="184">
        <f t="shared" si="3"/>
        <v>1.0029717682020802</v>
      </c>
      <c r="F17" s="174">
        <f t="shared" si="0"/>
        <v>1000</v>
      </c>
      <c r="G17" s="136"/>
      <c r="H17" s="173">
        <f t="shared" si="1"/>
        <v>1000</v>
      </c>
    </row>
    <row r="18" spans="1:8" x14ac:dyDescent="0.2">
      <c r="A18" s="168">
        <v>7</v>
      </c>
      <c r="B18" s="154" t="s">
        <v>113</v>
      </c>
      <c r="C18" s="171">
        <v>3</v>
      </c>
      <c r="D18" s="154">
        <v>32.31</v>
      </c>
      <c r="E18" s="154">
        <f t="shared" si="3"/>
        <v>0.83565459610027848</v>
      </c>
      <c r="F18" s="174">
        <f t="shared" si="0"/>
        <v>833</v>
      </c>
      <c r="G18" s="136"/>
      <c r="H18" s="173">
        <f t="shared" si="1"/>
        <v>833</v>
      </c>
    </row>
    <row r="19" spans="1:8" x14ac:dyDescent="0.2">
      <c r="A19" s="168">
        <v>5</v>
      </c>
      <c r="B19" s="154" t="s">
        <v>97</v>
      </c>
      <c r="C19" s="183">
        <v>3</v>
      </c>
      <c r="D19" s="184">
        <v>39.590000000000003</v>
      </c>
      <c r="E19" s="184">
        <f t="shared" si="3"/>
        <v>0.68199040161656976</v>
      </c>
      <c r="F19" s="174">
        <f t="shared" si="0"/>
        <v>680</v>
      </c>
      <c r="G19" s="136"/>
      <c r="H19" s="173">
        <f t="shared" si="1"/>
        <v>680</v>
      </c>
    </row>
    <row r="20" spans="1:8" x14ac:dyDescent="0.2">
      <c r="A20" s="168">
        <v>4</v>
      </c>
      <c r="B20" s="154" t="s">
        <v>109</v>
      </c>
      <c r="C20" s="183">
        <v>3</v>
      </c>
      <c r="D20" s="184">
        <v>49.62</v>
      </c>
      <c r="E20" s="184">
        <f t="shared" si="3"/>
        <v>0.54413542926239422</v>
      </c>
      <c r="F20" s="174">
        <f t="shared" si="0"/>
        <v>543</v>
      </c>
      <c r="G20" s="136"/>
      <c r="H20" s="173">
        <f t="shared" si="1"/>
        <v>543</v>
      </c>
    </row>
    <row r="21" spans="1:8" x14ac:dyDescent="0.2">
      <c r="A21" s="168">
        <v>12</v>
      </c>
      <c r="B21" s="154" t="s">
        <v>104</v>
      </c>
      <c r="C21" s="171">
        <v>3</v>
      </c>
      <c r="D21" s="154">
        <v>33.049999999999997</v>
      </c>
      <c r="E21" s="154">
        <f t="shared" si="3"/>
        <v>0.81694402420574896</v>
      </c>
      <c r="F21" s="174">
        <f t="shared" si="0"/>
        <v>815</v>
      </c>
      <c r="G21" s="136"/>
      <c r="H21" s="173">
        <f t="shared" si="1"/>
        <v>815</v>
      </c>
    </row>
    <row r="22" spans="1:8" ht="13.5" thickBot="1" x14ac:dyDescent="0.25">
      <c r="A22" s="178">
        <v>8</v>
      </c>
      <c r="B22" s="155" t="s">
        <v>106</v>
      </c>
      <c r="C22" s="172" t="s">
        <v>43</v>
      </c>
      <c r="D22" s="155">
        <v>0</v>
      </c>
      <c r="E22" s="155">
        <v>0</v>
      </c>
      <c r="F22" s="175">
        <f t="shared" si="0"/>
        <v>0</v>
      </c>
      <c r="G22" s="203"/>
      <c r="H22" s="204">
        <f t="shared" si="1"/>
        <v>0</v>
      </c>
    </row>
    <row r="23" spans="1:8" ht="15" x14ac:dyDescent="0.25">
      <c r="A23"/>
      <c r="B23"/>
    </row>
  </sheetData>
  <sortState ref="A4:I22">
    <sortCondition ref="B4:B2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H22"/>
  <sheetViews>
    <sheetView zoomScaleNormal="100" workbookViewId="0">
      <selection activeCell="E23" sqref="E23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7.85546875" style="111" bestFit="1" customWidth="1"/>
    <col min="4" max="4" width="6" style="111" bestFit="1" customWidth="1"/>
    <col min="5" max="5" width="42.140625" style="111" bestFit="1" customWidth="1"/>
    <col min="6" max="6" width="14.42578125" style="111" customWidth="1"/>
    <col min="7" max="7" width="6.7109375" style="111" bestFit="1" customWidth="1"/>
    <col min="8" max="16384" width="8.85546875" style="111"/>
  </cols>
  <sheetData>
    <row r="1" spans="1:8" x14ac:dyDescent="0.2">
      <c r="B1" s="211" t="s">
        <v>147</v>
      </c>
      <c r="C1" s="210">
        <v>1.1299999999999999</v>
      </c>
    </row>
    <row r="2" spans="1:8" ht="13.5" thickBot="1" x14ac:dyDescent="0.25">
      <c r="C2" s="157"/>
    </row>
    <row r="3" spans="1:8" ht="26.25" thickBot="1" x14ac:dyDescent="0.25">
      <c r="A3" s="159" t="s">
        <v>126</v>
      </c>
      <c r="B3" s="152" t="s">
        <v>21</v>
      </c>
      <c r="C3" s="169" t="s">
        <v>51</v>
      </c>
      <c r="D3" s="176" t="s">
        <v>22</v>
      </c>
    </row>
    <row r="4" spans="1:8" x14ac:dyDescent="0.2">
      <c r="A4" s="153">
        <v>14</v>
      </c>
      <c r="B4" s="153" t="s">
        <v>100</v>
      </c>
      <c r="C4" s="193" t="s">
        <v>43</v>
      </c>
      <c r="D4" s="161">
        <v>0</v>
      </c>
      <c r="E4" s="187"/>
      <c r="G4" s="111" t="s">
        <v>12</v>
      </c>
      <c r="H4" s="132">
        <v>20</v>
      </c>
    </row>
    <row r="5" spans="1:8" x14ac:dyDescent="0.2">
      <c r="A5" s="168">
        <v>17</v>
      </c>
      <c r="B5" s="154" t="s">
        <v>108</v>
      </c>
      <c r="C5" s="207">
        <v>0</v>
      </c>
      <c r="D5" s="208">
        <f t="shared" ref="D5:D10" si="0">(C5*$H$4)</f>
        <v>0</v>
      </c>
    </row>
    <row r="6" spans="1:8" x14ac:dyDescent="0.2">
      <c r="A6" s="168">
        <v>16</v>
      </c>
      <c r="B6" s="154" t="s">
        <v>101</v>
      </c>
      <c r="C6" s="207">
        <v>0</v>
      </c>
      <c r="D6" s="208">
        <f t="shared" si="0"/>
        <v>0</v>
      </c>
    </row>
    <row r="7" spans="1:8" x14ac:dyDescent="0.2">
      <c r="A7" s="168">
        <v>18</v>
      </c>
      <c r="B7" s="154" t="s">
        <v>107</v>
      </c>
      <c r="C7" s="207">
        <v>2</v>
      </c>
      <c r="D7" s="208">
        <f t="shared" si="0"/>
        <v>40</v>
      </c>
      <c r="F7" s="187"/>
      <c r="G7" s="187"/>
    </row>
    <row r="8" spans="1:8" x14ac:dyDescent="0.2">
      <c r="A8" s="168">
        <v>10</v>
      </c>
      <c r="B8" s="154" t="s">
        <v>110</v>
      </c>
      <c r="C8" s="207">
        <v>0</v>
      </c>
      <c r="D8" s="208">
        <f t="shared" si="0"/>
        <v>0</v>
      </c>
      <c r="E8" s="187" t="s">
        <v>133</v>
      </c>
      <c r="F8" s="187"/>
      <c r="G8" s="187"/>
    </row>
    <row r="9" spans="1:8" x14ac:dyDescent="0.2">
      <c r="A9" s="168">
        <v>11</v>
      </c>
      <c r="B9" s="154" t="s">
        <v>111</v>
      </c>
      <c r="C9" s="207">
        <v>4</v>
      </c>
      <c r="D9" s="208">
        <f t="shared" si="0"/>
        <v>80</v>
      </c>
      <c r="E9" s="209"/>
    </row>
    <row r="10" spans="1:8" x14ac:dyDescent="0.2">
      <c r="A10" s="168">
        <v>3</v>
      </c>
      <c r="B10" s="154" t="s">
        <v>56</v>
      </c>
      <c r="C10" s="207">
        <v>0</v>
      </c>
      <c r="D10" s="208">
        <f t="shared" si="0"/>
        <v>0</v>
      </c>
      <c r="E10" s="187" t="s">
        <v>136</v>
      </c>
    </row>
    <row r="11" spans="1:8" x14ac:dyDescent="0.2">
      <c r="A11" s="168">
        <v>13</v>
      </c>
      <c r="B11" s="154" t="s">
        <v>112</v>
      </c>
      <c r="C11" s="207" t="s">
        <v>43</v>
      </c>
      <c r="D11" s="208">
        <v>0</v>
      </c>
      <c r="E11" s="187"/>
    </row>
    <row r="12" spans="1:8" x14ac:dyDescent="0.2">
      <c r="A12" s="168">
        <v>15</v>
      </c>
      <c r="B12" s="154" t="s">
        <v>103</v>
      </c>
      <c r="C12" s="207">
        <v>0</v>
      </c>
      <c r="D12" s="208">
        <f t="shared" ref="D12:D21" si="1">(C12*$H$4)</f>
        <v>0</v>
      </c>
      <c r="E12" s="187"/>
    </row>
    <row r="13" spans="1:8" x14ac:dyDescent="0.2">
      <c r="A13" s="168">
        <v>1</v>
      </c>
      <c r="B13" s="154" t="s">
        <v>59</v>
      </c>
      <c r="C13" s="207">
        <v>5</v>
      </c>
      <c r="D13" s="208">
        <f t="shared" si="1"/>
        <v>100</v>
      </c>
      <c r="E13" s="187"/>
    </row>
    <row r="14" spans="1:8" x14ac:dyDescent="0.2">
      <c r="A14" s="168">
        <v>9</v>
      </c>
      <c r="B14" s="154" t="s">
        <v>102</v>
      </c>
      <c r="C14" s="207">
        <v>0</v>
      </c>
      <c r="D14" s="208">
        <f t="shared" si="1"/>
        <v>0</v>
      </c>
      <c r="E14" s="187"/>
    </row>
    <row r="15" spans="1:8" x14ac:dyDescent="0.2">
      <c r="A15" s="168">
        <v>6</v>
      </c>
      <c r="B15" s="154" t="s">
        <v>58</v>
      </c>
      <c r="C15" s="207">
        <v>4</v>
      </c>
      <c r="D15" s="208">
        <f t="shared" si="1"/>
        <v>80</v>
      </c>
      <c r="E15" s="187"/>
    </row>
    <row r="16" spans="1:8" x14ac:dyDescent="0.2">
      <c r="A16" s="168">
        <v>2</v>
      </c>
      <c r="B16" s="154" t="s">
        <v>105</v>
      </c>
      <c r="C16" s="207">
        <v>0</v>
      </c>
      <c r="D16" s="208">
        <f t="shared" si="1"/>
        <v>0</v>
      </c>
      <c r="E16" s="187" t="s">
        <v>137</v>
      </c>
    </row>
    <row r="17" spans="1:5" x14ac:dyDescent="0.2">
      <c r="A17" s="168">
        <v>19</v>
      </c>
      <c r="B17" s="154" t="s">
        <v>99</v>
      </c>
      <c r="C17" s="207">
        <v>5</v>
      </c>
      <c r="D17" s="208">
        <f t="shared" si="1"/>
        <v>100</v>
      </c>
    </row>
    <row r="18" spans="1:5" x14ac:dyDescent="0.2">
      <c r="A18" s="168">
        <v>7</v>
      </c>
      <c r="B18" s="154" t="s">
        <v>113</v>
      </c>
      <c r="C18" s="207">
        <v>0</v>
      </c>
      <c r="D18" s="208">
        <f t="shared" si="1"/>
        <v>0</v>
      </c>
      <c r="E18" s="187" t="s">
        <v>134</v>
      </c>
    </row>
    <row r="19" spans="1:5" x14ac:dyDescent="0.2">
      <c r="A19" s="168">
        <v>5</v>
      </c>
      <c r="B19" s="154" t="s">
        <v>97</v>
      </c>
      <c r="C19" s="207">
        <v>0</v>
      </c>
      <c r="D19" s="208">
        <f t="shared" si="1"/>
        <v>0</v>
      </c>
      <c r="E19" s="187" t="s">
        <v>135</v>
      </c>
    </row>
    <row r="20" spans="1:5" x14ac:dyDescent="0.2">
      <c r="A20" s="168">
        <v>4</v>
      </c>
      <c r="B20" s="154" t="s">
        <v>109</v>
      </c>
      <c r="C20" s="207">
        <v>4</v>
      </c>
      <c r="D20" s="208">
        <f t="shared" si="1"/>
        <v>80</v>
      </c>
      <c r="E20" s="187"/>
    </row>
    <row r="21" spans="1:5" x14ac:dyDescent="0.2">
      <c r="A21" s="168">
        <v>12</v>
      </c>
      <c r="B21" s="154" t="s">
        <v>104</v>
      </c>
      <c r="C21" s="207">
        <v>2</v>
      </c>
      <c r="D21" s="208">
        <f t="shared" si="1"/>
        <v>40</v>
      </c>
      <c r="E21" s="187"/>
    </row>
    <row r="22" spans="1:5" ht="13.5" thickBot="1" x14ac:dyDescent="0.25">
      <c r="A22" s="178">
        <v>8</v>
      </c>
      <c r="B22" s="155" t="s">
        <v>106</v>
      </c>
      <c r="C22" s="212" t="s">
        <v>43</v>
      </c>
      <c r="D22" s="213">
        <v>0</v>
      </c>
      <c r="E22" s="187"/>
    </row>
  </sheetData>
  <sortState ref="A4:E22">
    <sortCondition ref="B4:B2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S22"/>
  <sheetViews>
    <sheetView zoomScaleNormal="100" workbookViewId="0">
      <selection activeCell="N19" sqref="N19"/>
    </sheetView>
  </sheetViews>
  <sheetFormatPr defaultColWidth="8.85546875" defaultRowHeight="12.75" x14ac:dyDescent="0.2"/>
  <cols>
    <col min="1" max="1" width="6" style="111" customWidth="1"/>
    <col min="2" max="2" width="18" style="111" bestFit="1" customWidth="1"/>
    <col min="3" max="3" width="9.5703125" style="111" bestFit="1" customWidth="1"/>
    <col min="4" max="4" width="8.140625" style="111" bestFit="1" customWidth="1"/>
    <col min="5" max="5" width="5.42578125" style="111" customWidth="1"/>
    <col min="6" max="6" width="9" style="187" bestFit="1" customWidth="1"/>
    <col min="7" max="7" width="9.5703125" style="187" bestFit="1" customWidth="1"/>
    <col min="8" max="8" width="9" style="187" bestFit="1" customWidth="1"/>
    <col min="9" max="9" width="8.140625" style="111" bestFit="1" customWidth="1"/>
    <col min="10" max="11" width="9.28515625" style="187" bestFit="1" customWidth="1"/>
    <col min="12" max="12" width="8" style="235" bestFit="1" customWidth="1"/>
    <col min="13" max="13" width="7" style="111" bestFit="1" customWidth="1"/>
    <col min="14" max="14" width="11.7109375" style="111" bestFit="1" customWidth="1"/>
    <col min="15" max="15" width="14.28515625" style="111" bestFit="1" customWidth="1"/>
    <col min="16" max="16" width="3" style="111" customWidth="1"/>
    <col min="17" max="17" width="3.5703125" style="111" customWidth="1"/>
    <col min="18" max="18" width="9.7109375" style="111" bestFit="1" customWidth="1"/>
    <col min="19" max="19" width="6.85546875" style="111" bestFit="1" customWidth="1"/>
    <col min="20" max="16384" width="8.85546875" style="111"/>
  </cols>
  <sheetData>
    <row r="1" spans="1:19" x14ac:dyDescent="0.2">
      <c r="B1" s="234" t="s">
        <v>160</v>
      </c>
      <c r="C1" s="111">
        <v>1.1399999999999999</v>
      </c>
    </row>
    <row r="2" spans="1:19" ht="13.5" thickBot="1" x14ac:dyDescent="0.25">
      <c r="B2" s="214"/>
    </row>
    <row r="3" spans="1:19" s="236" customFormat="1" ht="39" thickBot="1" x14ac:dyDescent="0.25">
      <c r="A3" s="176" t="s">
        <v>126</v>
      </c>
      <c r="B3" s="286" t="s">
        <v>21</v>
      </c>
      <c r="C3" s="244" t="s">
        <v>150</v>
      </c>
      <c r="D3" s="244" t="s">
        <v>151</v>
      </c>
      <c r="E3" s="176" t="s">
        <v>152</v>
      </c>
      <c r="F3" s="287" t="s">
        <v>79</v>
      </c>
      <c r="G3" s="244" t="s">
        <v>80</v>
      </c>
      <c r="H3" s="176" t="s">
        <v>3</v>
      </c>
      <c r="I3" s="177" t="s">
        <v>153</v>
      </c>
      <c r="J3" s="287" t="s">
        <v>4</v>
      </c>
      <c r="K3" s="176" t="s">
        <v>5</v>
      </c>
      <c r="L3" s="288" t="s">
        <v>7</v>
      </c>
      <c r="M3" s="176" t="s">
        <v>6</v>
      </c>
      <c r="N3" s="176" t="s">
        <v>156</v>
      </c>
      <c r="O3" s="269" t="s">
        <v>155</v>
      </c>
      <c r="R3" s="269" t="s">
        <v>154</v>
      </c>
      <c r="S3" s="271">
        <v>3.9583333333333331E-2</v>
      </c>
    </row>
    <row r="4" spans="1:19" x14ac:dyDescent="0.2">
      <c r="A4" s="168">
        <v>14</v>
      </c>
      <c r="B4" s="168" t="s">
        <v>100</v>
      </c>
      <c r="C4" s="277" t="s">
        <v>43</v>
      </c>
      <c r="D4" s="278"/>
      <c r="E4" s="279"/>
      <c r="F4" s="280"/>
      <c r="G4" s="245"/>
      <c r="H4" s="329"/>
      <c r="I4" s="281"/>
      <c r="J4" s="282"/>
      <c r="K4" s="283">
        <v>0</v>
      </c>
      <c r="L4" s="284">
        <v>0</v>
      </c>
      <c r="M4" s="285">
        <f t="shared" ref="M4:M22" si="0">K4+L4-I4</f>
        <v>0</v>
      </c>
      <c r="N4" s="285">
        <f t="shared" ref="N4:N11" si="1">M4</f>
        <v>0</v>
      </c>
    </row>
    <row r="5" spans="1:19" x14ac:dyDescent="0.2">
      <c r="A5" s="168">
        <v>17</v>
      </c>
      <c r="B5" s="154" t="s">
        <v>108</v>
      </c>
      <c r="C5" s="255">
        <v>27.2</v>
      </c>
      <c r="D5" s="261">
        <v>25</v>
      </c>
      <c r="E5" s="265">
        <f t="shared" ref="E5:E10" si="2">C5-D5</f>
        <v>2.1999999999999993</v>
      </c>
      <c r="F5" s="263">
        <v>0.40209490740740739</v>
      </c>
      <c r="G5" s="240">
        <v>0.44160879629629629</v>
      </c>
      <c r="H5" s="268">
        <f t="shared" ref="H5:H10" si="3">G5-F5</f>
        <v>3.9513888888888904E-2</v>
      </c>
      <c r="I5" s="257">
        <v>6</v>
      </c>
      <c r="J5" s="253">
        <v>9</v>
      </c>
      <c r="K5" s="250">
        <f t="shared" ref="K5:K10" si="4">ROUND(500*J5/MAX($J$4:$J$20),0)</f>
        <v>321</v>
      </c>
      <c r="L5" s="248">
        <f t="shared" ref="L5:L10" si="5">ROUND(500*MIN($E$4:$E$20)/E5,0)</f>
        <v>500</v>
      </c>
      <c r="M5" s="246">
        <f t="shared" si="0"/>
        <v>815</v>
      </c>
      <c r="N5" s="246">
        <f t="shared" si="1"/>
        <v>815</v>
      </c>
      <c r="O5" s="270">
        <f>$S$3-H5</f>
        <v>6.9444444444427544E-5</v>
      </c>
    </row>
    <row r="6" spans="1:19" x14ac:dyDescent="0.2">
      <c r="A6" s="168">
        <v>16</v>
      </c>
      <c r="B6" s="154" t="s">
        <v>101</v>
      </c>
      <c r="C6" s="255">
        <v>33.9</v>
      </c>
      <c r="D6" s="261">
        <v>30.4</v>
      </c>
      <c r="E6" s="265">
        <f t="shared" si="2"/>
        <v>3.5</v>
      </c>
      <c r="F6" s="263">
        <v>0.40621527777777783</v>
      </c>
      <c r="G6" s="240">
        <v>0.44451388888888888</v>
      </c>
      <c r="H6" s="268">
        <f t="shared" si="3"/>
        <v>3.8298611111111047E-2</v>
      </c>
      <c r="I6" s="257">
        <v>111</v>
      </c>
      <c r="J6" s="253">
        <v>11</v>
      </c>
      <c r="K6" s="250">
        <f t="shared" si="4"/>
        <v>393</v>
      </c>
      <c r="L6" s="248">
        <f t="shared" si="5"/>
        <v>314</v>
      </c>
      <c r="M6" s="246">
        <f t="shared" si="0"/>
        <v>596</v>
      </c>
      <c r="N6" s="246">
        <f t="shared" si="1"/>
        <v>596</v>
      </c>
      <c r="O6" s="270">
        <f>$S$3-H6</f>
        <v>1.2847222222222843E-3</v>
      </c>
    </row>
    <row r="7" spans="1:19" x14ac:dyDescent="0.2">
      <c r="A7" s="168">
        <v>18</v>
      </c>
      <c r="B7" s="154" t="s">
        <v>107</v>
      </c>
      <c r="C7" s="255">
        <v>38.6</v>
      </c>
      <c r="D7" s="261">
        <v>34.5</v>
      </c>
      <c r="E7" s="265">
        <f t="shared" si="2"/>
        <v>4.1000000000000014</v>
      </c>
      <c r="F7" s="263">
        <v>0.40296296296296297</v>
      </c>
      <c r="G7" s="240">
        <v>0.44443287037037038</v>
      </c>
      <c r="H7" s="259">
        <f t="shared" si="3"/>
        <v>4.1469907407407414E-2</v>
      </c>
      <c r="I7" s="257"/>
      <c r="J7" s="253">
        <v>11</v>
      </c>
      <c r="K7" s="250">
        <f t="shared" si="4"/>
        <v>393</v>
      </c>
      <c r="L7" s="248">
        <f t="shared" si="5"/>
        <v>268</v>
      </c>
      <c r="M7" s="246">
        <f t="shared" si="0"/>
        <v>661</v>
      </c>
      <c r="N7" s="246">
        <f t="shared" si="1"/>
        <v>661</v>
      </c>
      <c r="O7" s="267"/>
    </row>
    <row r="8" spans="1:19" x14ac:dyDescent="0.2">
      <c r="A8" s="168">
        <v>10</v>
      </c>
      <c r="B8" s="154" t="s">
        <v>110</v>
      </c>
      <c r="C8" s="255">
        <v>34.4</v>
      </c>
      <c r="D8" s="261">
        <v>31.6</v>
      </c>
      <c r="E8" s="265">
        <f t="shared" si="2"/>
        <v>2.7999999999999972</v>
      </c>
      <c r="F8" s="263">
        <v>0.40659722222222222</v>
      </c>
      <c r="G8" s="240">
        <v>0.4478935185185185</v>
      </c>
      <c r="H8" s="259">
        <f t="shared" si="3"/>
        <v>4.1296296296296275E-2</v>
      </c>
      <c r="I8" s="257"/>
      <c r="J8" s="253">
        <v>10</v>
      </c>
      <c r="K8" s="250">
        <f t="shared" si="4"/>
        <v>357</v>
      </c>
      <c r="L8" s="248">
        <f t="shared" si="5"/>
        <v>393</v>
      </c>
      <c r="M8" s="246">
        <f t="shared" si="0"/>
        <v>750</v>
      </c>
      <c r="N8" s="246">
        <f t="shared" si="1"/>
        <v>750</v>
      </c>
      <c r="O8" s="267"/>
    </row>
    <row r="9" spans="1:19" x14ac:dyDescent="0.2">
      <c r="A9" s="168">
        <v>11</v>
      </c>
      <c r="B9" s="154" t="s">
        <v>111</v>
      </c>
      <c r="C9" s="255">
        <v>36.4</v>
      </c>
      <c r="D9" s="261">
        <v>32.799999999999997</v>
      </c>
      <c r="E9" s="265">
        <f t="shared" si="2"/>
        <v>3.6000000000000014</v>
      </c>
      <c r="F9" s="263">
        <v>0.4067824074074074</v>
      </c>
      <c r="G9" s="240">
        <v>0.44644675925925931</v>
      </c>
      <c r="H9" s="259">
        <f t="shared" si="3"/>
        <v>3.9664351851851909E-2</v>
      </c>
      <c r="I9" s="257"/>
      <c r="J9" s="253">
        <v>9</v>
      </c>
      <c r="K9" s="250">
        <f t="shared" si="4"/>
        <v>321</v>
      </c>
      <c r="L9" s="248">
        <f t="shared" si="5"/>
        <v>306</v>
      </c>
      <c r="M9" s="246">
        <f t="shared" si="0"/>
        <v>627</v>
      </c>
      <c r="N9" s="246">
        <f t="shared" si="1"/>
        <v>627</v>
      </c>
      <c r="O9" s="267"/>
    </row>
    <row r="10" spans="1:19" x14ac:dyDescent="0.2">
      <c r="A10" s="168">
        <v>3</v>
      </c>
      <c r="B10" s="154" t="s">
        <v>56</v>
      </c>
      <c r="C10" s="255">
        <v>44.5</v>
      </c>
      <c r="D10" s="261">
        <v>40.6</v>
      </c>
      <c r="E10" s="265">
        <f t="shared" si="2"/>
        <v>3.8999999999999986</v>
      </c>
      <c r="F10" s="263">
        <v>0.4097337962962963</v>
      </c>
      <c r="G10" s="240">
        <v>0.45006944444444441</v>
      </c>
      <c r="H10" s="259">
        <f t="shared" si="3"/>
        <v>4.0335648148148107E-2</v>
      </c>
      <c r="I10" s="257"/>
      <c r="J10" s="253">
        <v>6</v>
      </c>
      <c r="K10" s="250">
        <f t="shared" si="4"/>
        <v>214</v>
      </c>
      <c r="L10" s="248">
        <f t="shared" si="5"/>
        <v>282</v>
      </c>
      <c r="M10" s="246">
        <f t="shared" si="0"/>
        <v>496</v>
      </c>
      <c r="N10" s="246">
        <f t="shared" si="1"/>
        <v>496</v>
      </c>
      <c r="O10" s="267"/>
    </row>
    <row r="11" spans="1:19" x14ac:dyDescent="0.2">
      <c r="A11" s="168">
        <v>13</v>
      </c>
      <c r="B11" s="154" t="s">
        <v>112</v>
      </c>
      <c r="C11" s="255" t="s">
        <v>43</v>
      </c>
      <c r="D11" s="261"/>
      <c r="E11" s="265"/>
      <c r="F11" s="263"/>
      <c r="G11" s="240"/>
      <c r="H11" s="259"/>
      <c r="I11" s="257"/>
      <c r="J11" s="253"/>
      <c r="K11" s="250">
        <v>0</v>
      </c>
      <c r="L11" s="248">
        <v>0</v>
      </c>
      <c r="M11" s="246">
        <f t="shared" si="0"/>
        <v>0</v>
      </c>
      <c r="N11" s="246">
        <f t="shared" si="1"/>
        <v>0</v>
      </c>
    </row>
    <row r="12" spans="1:19" x14ac:dyDescent="0.2">
      <c r="A12" s="168">
        <v>15</v>
      </c>
      <c r="B12" s="154" t="s">
        <v>103</v>
      </c>
      <c r="C12" s="255">
        <v>40.6</v>
      </c>
      <c r="D12" s="261">
        <v>37.200000000000003</v>
      </c>
      <c r="E12" s="265">
        <f t="shared" ref="E12:E19" si="6">C12-D12</f>
        <v>3.3999999999999986</v>
      </c>
      <c r="F12" s="263">
        <v>0.4069444444444445</v>
      </c>
      <c r="G12" s="240">
        <v>0.43807870370370372</v>
      </c>
      <c r="H12" s="268">
        <f t="shared" ref="H12:H19" si="7">G12-F12</f>
        <v>3.1134259259259223E-2</v>
      </c>
      <c r="I12" s="257">
        <v>730</v>
      </c>
      <c r="J12" s="253">
        <v>10</v>
      </c>
      <c r="K12" s="250">
        <f t="shared" ref="K12:K19" si="8">ROUND(500*J12/MAX($J$4:$J$20),0)</f>
        <v>357</v>
      </c>
      <c r="L12" s="248">
        <f t="shared" ref="L12:L19" si="9">ROUND(500*MIN($E$4:$E$20)/E12,0)</f>
        <v>324</v>
      </c>
      <c r="M12" s="276">
        <f t="shared" si="0"/>
        <v>-49</v>
      </c>
      <c r="N12" s="246">
        <v>0</v>
      </c>
      <c r="O12" s="270">
        <f>$S$3-H12</f>
        <v>8.4490740740741088E-3</v>
      </c>
    </row>
    <row r="13" spans="1:19" x14ac:dyDescent="0.2">
      <c r="A13" s="168">
        <v>1</v>
      </c>
      <c r="B13" s="154" t="s">
        <v>59</v>
      </c>
      <c r="C13" s="255">
        <v>37</v>
      </c>
      <c r="D13" s="261">
        <v>33.799999999999997</v>
      </c>
      <c r="E13" s="265">
        <f t="shared" si="6"/>
        <v>3.2000000000000028</v>
      </c>
      <c r="F13" s="263">
        <v>0.4027662037037037</v>
      </c>
      <c r="G13" s="240">
        <v>0.44523148148148151</v>
      </c>
      <c r="H13" s="259">
        <f t="shared" si="7"/>
        <v>4.246527777777781E-2</v>
      </c>
      <c r="I13" s="257"/>
      <c r="J13" s="253">
        <v>11</v>
      </c>
      <c r="K13" s="250">
        <f t="shared" si="8"/>
        <v>393</v>
      </c>
      <c r="L13" s="248">
        <f t="shared" si="9"/>
        <v>344</v>
      </c>
      <c r="M13" s="246">
        <f t="shared" si="0"/>
        <v>737</v>
      </c>
      <c r="N13" s="246">
        <f t="shared" ref="N13:N18" si="10">M13</f>
        <v>737</v>
      </c>
      <c r="O13" s="267"/>
    </row>
    <row r="14" spans="1:19" x14ac:dyDescent="0.2">
      <c r="A14" s="168">
        <v>9</v>
      </c>
      <c r="B14" s="154" t="s">
        <v>102</v>
      </c>
      <c r="C14" s="255">
        <v>40.4</v>
      </c>
      <c r="D14" s="261">
        <v>37.799999999999997</v>
      </c>
      <c r="E14" s="265">
        <f t="shared" si="6"/>
        <v>2.6000000000000014</v>
      </c>
      <c r="F14" s="263">
        <v>0.41673611111111114</v>
      </c>
      <c r="G14" s="240">
        <v>0.45105324074074077</v>
      </c>
      <c r="H14" s="268">
        <f t="shared" si="7"/>
        <v>3.4317129629629628E-2</v>
      </c>
      <c r="I14" s="257">
        <v>455</v>
      </c>
      <c r="J14" s="253">
        <v>7</v>
      </c>
      <c r="K14" s="250">
        <f t="shared" si="8"/>
        <v>250</v>
      </c>
      <c r="L14" s="248">
        <f t="shared" si="9"/>
        <v>423</v>
      </c>
      <c r="M14" s="246">
        <f t="shared" si="0"/>
        <v>218</v>
      </c>
      <c r="N14" s="246">
        <f t="shared" si="10"/>
        <v>218</v>
      </c>
      <c r="O14" s="270">
        <f>$S$3-H14</f>
        <v>5.2662037037037035E-3</v>
      </c>
    </row>
    <row r="15" spans="1:19" x14ac:dyDescent="0.2">
      <c r="A15" s="168">
        <v>6</v>
      </c>
      <c r="B15" s="154" t="s">
        <v>58</v>
      </c>
      <c r="C15" s="255">
        <v>35.4</v>
      </c>
      <c r="D15" s="261">
        <v>31.4</v>
      </c>
      <c r="E15" s="265">
        <f t="shared" si="6"/>
        <v>4</v>
      </c>
      <c r="F15" s="263">
        <v>0.40346064814814814</v>
      </c>
      <c r="G15" s="240">
        <v>0.44392361111111112</v>
      </c>
      <c r="H15" s="259">
        <f t="shared" si="7"/>
        <v>4.0462962962962978E-2</v>
      </c>
      <c r="I15" s="257"/>
      <c r="J15" s="253">
        <v>11</v>
      </c>
      <c r="K15" s="250">
        <f t="shared" si="8"/>
        <v>393</v>
      </c>
      <c r="L15" s="248">
        <f t="shared" si="9"/>
        <v>275</v>
      </c>
      <c r="M15" s="246">
        <f t="shared" si="0"/>
        <v>668</v>
      </c>
      <c r="N15" s="246">
        <f t="shared" si="10"/>
        <v>668</v>
      </c>
      <c r="O15" s="267"/>
    </row>
    <row r="16" spans="1:19" x14ac:dyDescent="0.2">
      <c r="A16" s="168">
        <v>2</v>
      </c>
      <c r="B16" s="154" t="s">
        <v>105</v>
      </c>
      <c r="C16" s="255">
        <v>39.6</v>
      </c>
      <c r="D16" s="261">
        <v>35.6</v>
      </c>
      <c r="E16" s="265">
        <f t="shared" si="6"/>
        <v>4</v>
      </c>
      <c r="F16" s="263">
        <v>0.40108796296296295</v>
      </c>
      <c r="G16" s="240">
        <v>0.44246527777777778</v>
      </c>
      <c r="H16" s="259">
        <f t="shared" si="7"/>
        <v>4.1377314814814825E-2</v>
      </c>
      <c r="I16" s="257"/>
      <c r="J16" s="253">
        <v>11</v>
      </c>
      <c r="K16" s="250">
        <f t="shared" si="8"/>
        <v>393</v>
      </c>
      <c r="L16" s="248">
        <f t="shared" si="9"/>
        <v>275</v>
      </c>
      <c r="M16" s="246">
        <f t="shared" si="0"/>
        <v>668</v>
      </c>
      <c r="N16" s="246">
        <f t="shared" si="10"/>
        <v>668</v>
      </c>
      <c r="O16" s="267"/>
    </row>
    <row r="17" spans="1:15" x14ac:dyDescent="0.2">
      <c r="A17" s="168">
        <v>19</v>
      </c>
      <c r="B17" s="154" t="s">
        <v>99</v>
      </c>
      <c r="C17" s="255">
        <v>38.6</v>
      </c>
      <c r="D17" s="261">
        <v>33</v>
      </c>
      <c r="E17" s="265">
        <f t="shared" si="6"/>
        <v>5.6000000000000014</v>
      </c>
      <c r="F17" s="263">
        <v>0.40244212962962966</v>
      </c>
      <c r="G17" s="240">
        <v>0.44523148148148151</v>
      </c>
      <c r="H17" s="259">
        <f t="shared" si="7"/>
        <v>4.2789351851851842E-2</v>
      </c>
      <c r="I17" s="257"/>
      <c r="J17" s="253">
        <v>14</v>
      </c>
      <c r="K17" s="250">
        <f t="shared" si="8"/>
        <v>500</v>
      </c>
      <c r="L17" s="248">
        <f t="shared" si="9"/>
        <v>196</v>
      </c>
      <c r="M17" s="246">
        <f t="shared" si="0"/>
        <v>696</v>
      </c>
      <c r="N17" s="246">
        <f t="shared" si="10"/>
        <v>696</v>
      </c>
      <c r="O17" s="267"/>
    </row>
    <row r="18" spans="1:15" x14ac:dyDescent="0.2">
      <c r="A18" s="168">
        <v>7</v>
      </c>
      <c r="B18" s="154" t="s">
        <v>113</v>
      </c>
      <c r="C18" s="255">
        <v>42.2</v>
      </c>
      <c r="D18" s="261">
        <v>39</v>
      </c>
      <c r="E18" s="265">
        <f t="shared" si="6"/>
        <v>3.2000000000000028</v>
      </c>
      <c r="F18" s="263">
        <v>0.4025347222222222</v>
      </c>
      <c r="G18" s="240">
        <v>0.44545138888888891</v>
      </c>
      <c r="H18" s="259">
        <f t="shared" si="7"/>
        <v>4.2916666666666714E-2</v>
      </c>
      <c r="I18" s="257"/>
      <c r="J18" s="253">
        <v>11</v>
      </c>
      <c r="K18" s="250">
        <f t="shared" si="8"/>
        <v>393</v>
      </c>
      <c r="L18" s="248">
        <f t="shared" si="9"/>
        <v>344</v>
      </c>
      <c r="M18" s="246">
        <f t="shared" si="0"/>
        <v>737</v>
      </c>
      <c r="N18" s="246">
        <f t="shared" si="10"/>
        <v>737</v>
      </c>
      <c r="O18" s="267"/>
    </row>
    <row r="19" spans="1:15" x14ac:dyDescent="0.2">
      <c r="A19" s="168">
        <v>5</v>
      </c>
      <c r="B19" s="154" t="s">
        <v>97</v>
      </c>
      <c r="C19" s="255">
        <v>39.799999999999997</v>
      </c>
      <c r="D19" s="261">
        <v>36.6</v>
      </c>
      <c r="E19" s="265">
        <f t="shared" si="6"/>
        <v>3.1999999999999957</v>
      </c>
      <c r="F19" s="263">
        <v>0.41122685185185182</v>
      </c>
      <c r="G19" s="240">
        <v>0.43920138888888888</v>
      </c>
      <c r="H19" s="268">
        <f t="shared" si="7"/>
        <v>2.7974537037037062E-2</v>
      </c>
      <c r="I19" s="257">
        <v>1003</v>
      </c>
      <c r="J19" s="253">
        <v>3</v>
      </c>
      <c r="K19" s="250">
        <f t="shared" si="8"/>
        <v>107</v>
      </c>
      <c r="L19" s="248">
        <f t="shared" si="9"/>
        <v>344</v>
      </c>
      <c r="M19" s="276">
        <f t="shared" si="0"/>
        <v>-552</v>
      </c>
      <c r="N19" s="246">
        <v>0</v>
      </c>
      <c r="O19" s="270">
        <f>$S$3-H19</f>
        <v>1.160879629629627E-2</v>
      </c>
    </row>
    <row r="20" spans="1:15" x14ac:dyDescent="0.2">
      <c r="A20" s="168">
        <v>4</v>
      </c>
      <c r="B20" s="154" t="s">
        <v>109</v>
      </c>
      <c r="C20" s="255" t="s">
        <v>43</v>
      </c>
      <c r="D20" s="261"/>
      <c r="E20" s="265"/>
      <c r="F20" s="263"/>
      <c r="G20" s="240"/>
      <c r="H20" s="259"/>
      <c r="I20" s="257"/>
      <c r="J20" s="253"/>
      <c r="K20" s="250">
        <v>0</v>
      </c>
      <c r="L20" s="248">
        <v>0</v>
      </c>
      <c r="M20" s="246">
        <f t="shared" si="0"/>
        <v>0</v>
      </c>
      <c r="N20" s="246">
        <f>M20</f>
        <v>0</v>
      </c>
    </row>
    <row r="21" spans="1:15" x14ac:dyDescent="0.2">
      <c r="A21" s="168">
        <v>12</v>
      </c>
      <c r="B21" s="154" t="s">
        <v>104</v>
      </c>
      <c r="C21" s="255">
        <v>30.6</v>
      </c>
      <c r="D21" s="261">
        <v>27.6</v>
      </c>
      <c r="E21" s="265">
        <f>C21-D21</f>
        <v>3</v>
      </c>
      <c r="F21" s="263">
        <v>0.40135416666666668</v>
      </c>
      <c r="G21" s="240">
        <v>0.44351851851851848</v>
      </c>
      <c r="H21" s="259">
        <f>G21-F21</f>
        <v>4.21643518518518E-2</v>
      </c>
      <c r="I21" s="257"/>
      <c r="J21" s="253">
        <v>11</v>
      </c>
      <c r="K21" s="250">
        <f>ROUND(500*J21/MAX($J$4:$J$20),0)</f>
        <v>393</v>
      </c>
      <c r="L21" s="248">
        <f>ROUND(500*MIN($E$4:$E$20)/E21,0)</f>
        <v>367</v>
      </c>
      <c r="M21" s="246">
        <f t="shared" si="0"/>
        <v>760</v>
      </c>
      <c r="N21" s="246">
        <f>M21</f>
        <v>760</v>
      </c>
      <c r="O21" s="267"/>
    </row>
    <row r="22" spans="1:15" ht="13.5" thickBot="1" x14ac:dyDescent="0.25">
      <c r="A22" s="178">
        <v>8</v>
      </c>
      <c r="B22" s="155" t="s">
        <v>106</v>
      </c>
      <c r="C22" s="256" t="s">
        <v>43</v>
      </c>
      <c r="D22" s="262"/>
      <c r="E22" s="266"/>
      <c r="F22" s="264"/>
      <c r="G22" s="252"/>
      <c r="H22" s="260"/>
      <c r="I22" s="258"/>
      <c r="J22" s="254"/>
      <c r="K22" s="251">
        <v>0</v>
      </c>
      <c r="L22" s="249">
        <v>0</v>
      </c>
      <c r="M22" s="247">
        <f t="shared" si="0"/>
        <v>0</v>
      </c>
      <c r="N22" s="247">
        <f>M22</f>
        <v>0</v>
      </c>
    </row>
  </sheetData>
  <sortState ref="A4:O22">
    <sortCondition ref="B4:B22"/>
  </sortState>
  <phoneticPr fontId="28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&amp;C&amp;A&amp;R&amp;D &amp;T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L22"/>
  <sheetViews>
    <sheetView zoomScaleNormal="100" workbookViewId="0">
      <selection activeCell="I13" sqref="I13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10" style="111" bestFit="1" customWidth="1"/>
    <col min="4" max="4" width="10.140625" style="111" bestFit="1" customWidth="1"/>
    <col min="5" max="5" width="9.42578125" style="111" bestFit="1" customWidth="1"/>
    <col min="6" max="6" width="11.28515625" style="111" bestFit="1" customWidth="1"/>
    <col min="7" max="7" width="9.140625" style="111" bestFit="1" customWidth="1"/>
    <col min="8" max="8" width="14.140625" style="111" customWidth="1"/>
    <col min="9" max="9" width="11.28515625" style="111" customWidth="1"/>
    <col min="10" max="10" width="6.85546875" style="111" customWidth="1"/>
    <col min="11" max="11" width="6.140625" style="111" bestFit="1" customWidth="1"/>
    <col min="12" max="12" width="6.42578125" style="111" bestFit="1" customWidth="1"/>
    <col min="13" max="13" width="6.28515625" style="111" customWidth="1"/>
    <col min="14" max="14" width="6.42578125" style="111" customWidth="1"/>
    <col min="15" max="15" width="5.85546875" style="111" customWidth="1"/>
    <col min="16" max="16384" width="8.85546875" style="111"/>
  </cols>
  <sheetData>
    <row r="1" spans="1:12" x14ac:dyDescent="0.2">
      <c r="C1" s="112"/>
      <c r="D1" s="234" t="s">
        <v>157</v>
      </c>
      <c r="E1" s="299">
        <v>1.1499999999999999</v>
      </c>
    </row>
    <row r="2" spans="1:12" ht="13.5" thickBot="1" x14ac:dyDescent="0.25">
      <c r="C2" s="112"/>
      <c r="D2" s="112"/>
    </row>
    <row r="3" spans="1:12" ht="39" thickBot="1" x14ac:dyDescent="0.25">
      <c r="A3" s="176" t="s">
        <v>126</v>
      </c>
      <c r="B3" s="286" t="s">
        <v>21</v>
      </c>
      <c r="C3" s="116" t="s">
        <v>158</v>
      </c>
      <c r="D3" s="46" t="s">
        <v>159</v>
      </c>
      <c r="E3" s="117" t="s">
        <v>119</v>
      </c>
      <c r="F3" s="117" t="s">
        <v>28</v>
      </c>
      <c r="G3" s="117" t="s">
        <v>6</v>
      </c>
    </row>
    <row r="4" spans="1:12" x14ac:dyDescent="0.2">
      <c r="A4" s="153">
        <v>18</v>
      </c>
      <c r="B4" s="153" t="s">
        <v>107</v>
      </c>
      <c r="C4" s="290">
        <v>2.4166666666666666E-2</v>
      </c>
      <c r="D4" s="293">
        <v>22.8</v>
      </c>
      <c r="E4" s="142">
        <f t="shared" ref="E4:E22" si="0">$L$4*D4/MAX($D$4:$D$22)</f>
        <v>1000</v>
      </c>
      <c r="F4" s="202"/>
      <c r="G4" s="143">
        <f t="shared" ref="G4:G22" si="1">E4-E4*F4</f>
        <v>1000</v>
      </c>
      <c r="K4" s="111" t="s">
        <v>12</v>
      </c>
      <c r="L4" s="132">
        <v>1000</v>
      </c>
    </row>
    <row r="5" spans="1:12" x14ac:dyDescent="0.2">
      <c r="A5" s="168">
        <v>1</v>
      </c>
      <c r="B5" s="154" t="s">
        <v>59</v>
      </c>
      <c r="C5" s="291">
        <v>1.9166666666666669E-2</v>
      </c>
      <c r="D5" s="294">
        <v>21.8</v>
      </c>
      <c r="E5" s="123">
        <f t="shared" si="0"/>
        <v>956.14035087719299</v>
      </c>
      <c r="F5" s="136"/>
      <c r="G5" s="124">
        <f t="shared" si="1"/>
        <v>956.14035087719299</v>
      </c>
    </row>
    <row r="6" spans="1:12" x14ac:dyDescent="0.2">
      <c r="A6" s="168">
        <v>12</v>
      </c>
      <c r="B6" s="154" t="s">
        <v>104</v>
      </c>
      <c r="C6" s="291">
        <v>2.3136574074074077E-2</v>
      </c>
      <c r="D6" s="294">
        <v>20.8</v>
      </c>
      <c r="E6" s="123">
        <f t="shared" si="0"/>
        <v>912.28070175438597</v>
      </c>
      <c r="F6" s="136"/>
      <c r="G6" s="124">
        <f t="shared" si="1"/>
        <v>912.28070175438597</v>
      </c>
    </row>
    <row r="7" spans="1:12" x14ac:dyDescent="0.2">
      <c r="A7" s="168">
        <v>2</v>
      </c>
      <c r="B7" s="154" t="s">
        <v>105</v>
      </c>
      <c r="C7" s="291">
        <v>1.8206018518518517E-2</v>
      </c>
      <c r="D7" s="294">
        <v>20.3</v>
      </c>
      <c r="E7" s="123">
        <f t="shared" si="0"/>
        <v>890.35087719298247</v>
      </c>
      <c r="F7" s="136"/>
      <c r="G7" s="124">
        <f t="shared" si="1"/>
        <v>890.35087719298247</v>
      </c>
    </row>
    <row r="8" spans="1:12" x14ac:dyDescent="0.2">
      <c r="A8" s="168">
        <v>17</v>
      </c>
      <c r="B8" s="154" t="s">
        <v>108</v>
      </c>
      <c r="C8" s="291">
        <v>2.3136574074074077E-2</v>
      </c>
      <c r="D8" s="294">
        <v>19.3</v>
      </c>
      <c r="E8" s="123">
        <f t="shared" si="0"/>
        <v>846.49122807017545</v>
      </c>
      <c r="F8" s="136"/>
      <c r="G8" s="124">
        <f t="shared" si="1"/>
        <v>846.49122807017545</v>
      </c>
    </row>
    <row r="9" spans="1:12" x14ac:dyDescent="0.2">
      <c r="A9" s="168">
        <v>16</v>
      </c>
      <c r="B9" s="154" t="s">
        <v>101</v>
      </c>
      <c r="C9" s="291">
        <v>1.8587962962962962E-2</v>
      </c>
      <c r="D9" s="294">
        <v>18.399999999999999</v>
      </c>
      <c r="E9" s="123">
        <f t="shared" si="0"/>
        <v>807.01754385964909</v>
      </c>
      <c r="F9" s="136"/>
      <c r="G9" s="124">
        <f t="shared" si="1"/>
        <v>807.01754385964909</v>
      </c>
    </row>
    <row r="10" spans="1:12" x14ac:dyDescent="0.2">
      <c r="A10" s="168">
        <v>7</v>
      </c>
      <c r="B10" s="154" t="s">
        <v>113</v>
      </c>
      <c r="C10" s="291">
        <v>1.6354166666666666E-2</v>
      </c>
      <c r="D10" s="294">
        <v>16.2</v>
      </c>
      <c r="E10" s="123">
        <f t="shared" si="0"/>
        <v>710.52631578947364</v>
      </c>
      <c r="F10" s="136"/>
      <c r="G10" s="124">
        <f t="shared" si="1"/>
        <v>710.52631578947364</v>
      </c>
    </row>
    <row r="11" spans="1:12" x14ac:dyDescent="0.2">
      <c r="A11" s="168">
        <v>10</v>
      </c>
      <c r="B11" s="154" t="s">
        <v>110</v>
      </c>
      <c r="C11" s="291">
        <v>2.1273148148148149E-2</v>
      </c>
      <c r="D11" s="294">
        <v>19</v>
      </c>
      <c r="E11" s="123">
        <f t="shared" si="0"/>
        <v>833.33333333333326</v>
      </c>
      <c r="F11" s="136">
        <v>0.2</v>
      </c>
      <c r="G11" s="124">
        <f t="shared" si="1"/>
        <v>666.66666666666663</v>
      </c>
    </row>
    <row r="12" spans="1:12" x14ac:dyDescent="0.2">
      <c r="A12" s="168">
        <v>5</v>
      </c>
      <c r="B12" s="154" t="s">
        <v>97</v>
      </c>
      <c r="C12" s="291">
        <v>1.3483796296296298E-2</v>
      </c>
      <c r="D12" s="294">
        <v>14.3</v>
      </c>
      <c r="E12" s="123">
        <f t="shared" si="0"/>
        <v>627.19298245614038</v>
      </c>
      <c r="F12" s="136"/>
      <c r="G12" s="124">
        <f t="shared" si="1"/>
        <v>627.19298245614038</v>
      </c>
    </row>
    <row r="13" spans="1:12" x14ac:dyDescent="0.2">
      <c r="A13" s="168">
        <v>9</v>
      </c>
      <c r="B13" s="154" t="s">
        <v>102</v>
      </c>
      <c r="C13" s="291">
        <v>1.5462962962962963E-2</v>
      </c>
      <c r="D13" s="294">
        <v>17.41</v>
      </c>
      <c r="E13" s="123">
        <f t="shared" si="0"/>
        <v>763.59649122807014</v>
      </c>
      <c r="F13" s="136">
        <v>0.2</v>
      </c>
      <c r="G13" s="124">
        <f t="shared" si="1"/>
        <v>610.87719298245611</v>
      </c>
    </row>
    <row r="14" spans="1:12" x14ac:dyDescent="0.2">
      <c r="A14" s="168">
        <v>3</v>
      </c>
      <c r="B14" s="154" t="s">
        <v>56</v>
      </c>
      <c r="C14" s="291">
        <v>1.5671296296296298E-2</v>
      </c>
      <c r="D14" s="295">
        <v>13.5</v>
      </c>
      <c r="E14" s="123">
        <f t="shared" si="0"/>
        <v>592.10526315789468</v>
      </c>
      <c r="F14" s="136"/>
      <c r="G14" s="131">
        <f t="shared" si="1"/>
        <v>592.10526315789468</v>
      </c>
    </row>
    <row r="15" spans="1:12" x14ac:dyDescent="0.2">
      <c r="A15" s="168">
        <v>6</v>
      </c>
      <c r="B15" s="154" t="s">
        <v>58</v>
      </c>
      <c r="C15" s="291">
        <v>1.2858796296296297E-2</v>
      </c>
      <c r="D15" s="295">
        <v>12.1</v>
      </c>
      <c r="E15" s="123">
        <f t="shared" si="0"/>
        <v>530.70175438596493</v>
      </c>
      <c r="F15" s="136"/>
      <c r="G15" s="131">
        <f t="shared" si="1"/>
        <v>530.70175438596493</v>
      </c>
    </row>
    <row r="16" spans="1:12" x14ac:dyDescent="0.2">
      <c r="A16" s="168">
        <v>11</v>
      </c>
      <c r="B16" s="154" t="s">
        <v>111</v>
      </c>
      <c r="C16" s="291">
        <v>1.3171296296296294E-2</v>
      </c>
      <c r="D16" s="295">
        <v>11</v>
      </c>
      <c r="E16" s="123">
        <f t="shared" si="0"/>
        <v>482.45614035087721</v>
      </c>
      <c r="F16" s="136"/>
      <c r="G16" s="131">
        <f t="shared" si="1"/>
        <v>482.45614035087721</v>
      </c>
    </row>
    <row r="17" spans="1:7" x14ac:dyDescent="0.2">
      <c r="A17" s="168">
        <v>19</v>
      </c>
      <c r="B17" s="154" t="s">
        <v>99</v>
      </c>
      <c r="C17" s="291">
        <v>1.4675925925925926E-2</v>
      </c>
      <c r="D17" s="295">
        <v>13.5</v>
      </c>
      <c r="E17" s="123">
        <f t="shared" si="0"/>
        <v>592.10526315789468</v>
      </c>
      <c r="F17" s="136">
        <v>0.2</v>
      </c>
      <c r="G17" s="131">
        <f t="shared" si="1"/>
        <v>473.68421052631572</v>
      </c>
    </row>
    <row r="18" spans="1:7" x14ac:dyDescent="0.2">
      <c r="A18" s="168">
        <v>14</v>
      </c>
      <c r="B18" s="154" t="s">
        <v>100</v>
      </c>
      <c r="C18" s="291"/>
      <c r="D18" s="295"/>
      <c r="E18" s="123">
        <f t="shared" si="0"/>
        <v>0</v>
      </c>
      <c r="F18" s="136"/>
      <c r="G18" s="131">
        <f t="shared" si="1"/>
        <v>0</v>
      </c>
    </row>
    <row r="19" spans="1:7" x14ac:dyDescent="0.2">
      <c r="A19" s="168">
        <v>13</v>
      </c>
      <c r="B19" s="154" t="s">
        <v>112</v>
      </c>
      <c r="C19" s="291"/>
      <c r="D19" s="295"/>
      <c r="E19" s="123">
        <f t="shared" si="0"/>
        <v>0</v>
      </c>
      <c r="F19" s="136"/>
      <c r="G19" s="131">
        <f t="shared" si="1"/>
        <v>0</v>
      </c>
    </row>
    <row r="20" spans="1:7" x14ac:dyDescent="0.2">
      <c r="A20" s="168">
        <v>15</v>
      </c>
      <c r="B20" s="154" t="s">
        <v>103</v>
      </c>
      <c r="C20" s="291"/>
      <c r="D20" s="294"/>
      <c r="E20" s="123">
        <f t="shared" si="0"/>
        <v>0</v>
      </c>
      <c r="F20" s="136"/>
      <c r="G20" s="124">
        <f t="shared" si="1"/>
        <v>0</v>
      </c>
    </row>
    <row r="21" spans="1:7" x14ac:dyDescent="0.2">
      <c r="A21" s="168">
        <v>4</v>
      </c>
      <c r="B21" s="154" t="s">
        <v>109</v>
      </c>
      <c r="C21" s="291"/>
      <c r="D21" s="294"/>
      <c r="E21" s="123">
        <f t="shared" si="0"/>
        <v>0</v>
      </c>
      <c r="F21" s="136"/>
      <c r="G21" s="124">
        <f t="shared" si="1"/>
        <v>0</v>
      </c>
    </row>
    <row r="22" spans="1:7" ht="13.5" thickBot="1" x14ac:dyDescent="0.25">
      <c r="A22" s="178">
        <v>8</v>
      </c>
      <c r="B22" s="155" t="s">
        <v>106</v>
      </c>
      <c r="C22" s="292"/>
      <c r="D22" s="296"/>
      <c r="E22" s="150">
        <f t="shared" si="0"/>
        <v>0</v>
      </c>
      <c r="F22" s="203"/>
      <c r="G22" s="151">
        <f t="shared" si="1"/>
        <v>0</v>
      </c>
    </row>
  </sheetData>
  <sortState ref="A4:G22">
    <sortCondition descending="1" ref="G4:G22"/>
  </sortState>
  <pageMargins left="0.70866141732283472" right="0.70866141732283472" top="0.74803149606299213" bottom="0.74803149606299213" header="0.31496062992125984" footer="0.31496062992125984"/>
  <pageSetup scale="74" orientation="portrait" verticalDpi="0" r:id="rId1"/>
  <headerFooter>
    <oddHeader>&amp;C&amp;A&amp;R&amp;D &amp;T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K23"/>
  <sheetViews>
    <sheetView zoomScaleNormal="100" workbookViewId="0">
      <selection activeCell="I3" sqref="I3"/>
    </sheetView>
  </sheetViews>
  <sheetFormatPr defaultColWidth="8.85546875" defaultRowHeight="12.75" x14ac:dyDescent="0.2"/>
  <cols>
    <col min="1" max="1" width="6" style="111" bestFit="1" customWidth="1"/>
    <col min="2" max="2" width="18.28515625" style="111" bestFit="1" customWidth="1"/>
    <col min="3" max="3" width="13.140625" style="111" customWidth="1"/>
    <col min="4" max="4" width="8.85546875" style="111" bestFit="1" customWidth="1"/>
    <col min="5" max="5" width="12" style="111" hidden="1" customWidth="1"/>
    <col min="6" max="6" width="5.85546875" style="111" bestFit="1" customWidth="1"/>
    <col min="7" max="7" width="7" style="111" customWidth="1"/>
    <col min="8" max="8" width="6.28515625" style="111" customWidth="1"/>
    <col min="9" max="9" width="15.140625" style="111" bestFit="1" customWidth="1"/>
    <col min="10" max="16384" width="8.85546875" style="111"/>
  </cols>
  <sheetData>
    <row r="1" spans="1:11" x14ac:dyDescent="0.2">
      <c r="C1" s="234" t="s">
        <v>162</v>
      </c>
      <c r="D1" s="167" t="s">
        <v>163</v>
      </c>
    </row>
    <row r="2" spans="1:11" ht="13.5" thickBot="1" x14ac:dyDescent="0.25">
      <c r="C2" s="157"/>
    </row>
    <row r="3" spans="1:11" ht="39" thickBot="1" x14ac:dyDescent="0.25">
      <c r="A3" s="176" t="s">
        <v>126</v>
      </c>
      <c r="B3" s="114" t="s">
        <v>21</v>
      </c>
      <c r="C3" s="169" t="s">
        <v>124</v>
      </c>
      <c r="D3" s="176" t="s">
        <v>45</v>
      </c>
      <c r="E3" s="176" t="s">
        <v>13</v>
      </c>
      <c r="F3" s="177" t="s">
        <v>22</v>
      </c>
      <c r="G3" s="117" t="s">
        <v>28</v>
      </c>
      <c r="H3" s="177" t="s">
        <v>6</v>
      </c>
    </row>
    <row r="4" spans="1:11" x14ac:dyDescent="0.2">
      <c r="A4" s="153">
        <v>19</v>
      </c>
      <c r="B4" s="153" t="s">
        <v>99</v>
      </c>
      <c r="C4" s="297">
        <v>4</v>
      </c>
      <c r="D4" s="333">
        <v>47.08</v>
      </c>
      <c r="E4" s="333">
        <f t="shared" ref="E4:E16" si="0">C4^3/D4</f>
        <v>1.3593882752761257</v>
      </c>
      <c r="F4" s="201">
        <f t="shared" ref="F4:F22" si="1">ROUND($K$5*E4/MAX($E$4:$E$22),0)</f>
        <v>1000</v>
      </c>
      <c r="G4" s="202"/>
      <c r="H4" s="201">
        <f t="shared" ref="H4:H22" si="2">ROUND(F4-F4*G4,0)</f>
        <v>1000</v>
      </c>
    </row>
    <row r="5" spans="1:11" x14ac:dyDescent="0.2">
      <c r="A5" s="168">
        <v>1</v>
      </c>
      <c r="B5" s="154" t="s">
        <v>59</v>
      </c>
      <c r="C5" s="171">
        <v>4</v>
      </c>
      <c r="D5" s="154">
        <v>53.24</v>
      </c>
      <c r="E5" s="154">
        <f t="shared" si="0"/>
        <v>1.2021036814425243</v>
      </c>
      <c r="F5" s="174">
        <f t="shared" si="1"/>
        <v>884</v>
      </c>
      <c r="G5" s="136"/>
      <c r="H5" s="173">
        <f t="shared" si="2"/>
        <v>884</v>
      </c>
      <c r="J5" s="111" t="s">
        <v>11</v>
      </c>
      <c r="K5" s="166">
        <v>1000</v>
      </c>
    </row>
    <row r="6" spans="1:11" x14ac:dyDescent="0.2">
      <c r="A6" s="168">
        <v>12</v>
      </c>
      <c r="B6" s="154" t="s">
        <v>104</v>
      </c>
      <c r="C6" s="171">
        <v>4</v>
      </c>
      <c r="D6" s="154">
        <v>54.26</v>
      </c>
      <c r="E6" s="154">
        <f t="shared" si="0"/>
        <v>1.1795060818282346</v>
      </c>
      <c r="F6" s="174">
        <f t="shared" si="1"/>
        <v>868</v>
      </c>
      <c r="G6" s="136"/>
      <c r="H6" s="173">
        <f t="shared" si="2"/>
        <v>868</v>
      </c>
    </row>
    <row r="7" spans="1:11" x14ac:dyDescent="0.2">
      <c r="A7" s="168">
        <v>6</v>
      </c>
      <c r="B7" s="154" t="s">
        <v>58</v>
      </c>
      <c r="C7" s="171">
        <v>4</v>
      </c>
      <c r="D7" s="154">
        <v>55.15</v>
      </c>
      <c r="E7" s="154">
        <f t="shared" si="0"/>
        <v>1.1604714415231188</v>
      </c>
      <c r="F7" s="174">
        <f t="shared" si="1"/>
        <v>854</v>
      </c>
      <c r="G7" s="136"/>
      <c r="H7" s="173">
        <f t="shared" si="2"/>
        <v>854</v>
      </c>
    </row>
    <row r="8" spans="1:11" x14ac:dyDescent="0.2">
      <c r="A8" s="168">
        <v>10</v>
      </c>
      <c r="B8" s="154" t="s">
        <v>110</v>
      </c>
      <c r="C8" s="183">
        <v>4</v>
      </c>
      <c r="D8" s="184">
        <v>62.46</v>
      </c>
      <c r="E8" s="184">
        <f t="shared" si="0"/>
        <v>1.0246557796990075</v>
      </c>
      <c r="F8" s="174">
        <f t="shared" si="1"/>
        <v>754</v>
      </c>
      <c r="G8" s="136"/>
      <c r="H8" s="173">
        <f t="shared" si="2"/>
        <v>754</v>
      </c>
    </row>
    <row r="9" spans="1:11" x14ac:dyDescent="0.2">
      <c r="A9" s="168">
        <v>17</v>
      </c>
      <c r="B9" s="154" t="s">
        <v>108</v>
      </c>
      <c r="C9" s="171">
        <v>4</v>
      </c>
      <c r="D9" s="154">
        <v>72.099999999999994</v>
      </c>
      <c r="E9" s="154">
        <f t="shared" si="0"/>
        <v>0.8876560332871013</v>
      </c>
      <c r="F9" s="174">
        <f t="shared" si="1"/>
        <v>653</v>
      </c>
      <c r="G9" s="136"/>
      <c r="H9" s="173">
        <f t="shared" si="2"/>
        <v>653</v>
      </c>
    </row>
    <row r="10" spans="1:11" x14ac:dyDescent="0.2">
      <c r="A10" s="168">
        <v>7</v>
      </c>
      <c r="B10" s="154" t="s">
        <v>113</v>
      </c>
      <c r="C10" s="171">
        <v>4</v>
      </c>
      <c r="D10" s="154">
        <v>76.78</v>
      </c>
      <c r="E10" s="154">
        <f t="shared" si="0"/>
        <v>0.83355040375097678</v>
      </c>
      <c r="F10" s="174">
        <f t="shared" si="1"/>
        <v>613</v>
      </c>
      <c r="G10" s="136"/>
      <c r="H10" s="173">
        <f t="shared" si="2"/>
        <v>613</v>
      </c>
    </row>
    <row r="11" spans="1:11" x14ac:dyDescent="0.2">
      <c r="A11" s="168">
        <v>3</v>
      </c>
      <c r="B11" s="154" t="s">
        <v>56</v>
      </c>
      <c r="C11" s="171">
        <v>4</v>
      </c>
      <c r="D11" s="154">
        <v>100.6</v>
      </c>
      <c r="E11" s="154">
        <f t="shared" si="0"/>
        <v>0.63618290258449306</v>
      </c>
      <c r="F11" s="174">
        <f t="shared" si="1"/>
        <v>468</v>
      </c>
      <c r="G11" s="136"/>
      <c r="H11" s="173">
        <f t="shared" si="2"/>
        <v>468</v>
      </c>
    </row>
    <row r="12" spans="1:11" x14ac:dyDescent="0.2">
      <c r="A12" s="168">
        <v>18</v>
      </c>
      <c r="B12" s="154" t="s">
        <v>107</v>
      </c>
      <c r="C12" s="171">
        <v>3</v>
      </c>
      <c r="D12" s="154">
        <v>44.04</v>
      </c>
      <c r="E12" s="154">
        <f t="shared" si="0"/>
        <v>0.61307901907356954</v>
      </c>
      <c r="F12" s="174">
        <f t="shared" si="1"/>
        <v>451</v>
      </c>
      <c r="G12" s="136"/>
      <c r="H12" s="173">
        <f t="shared" si="2"/>
        <v>451</v>
      </c>
    </row>
    <row r="13" spans="1:11" x14ac:dyDescent="0.2">
      <c r="A13" s="168">
        <v>4</v>
      </c>
      <c r="B13" s="154" t="s">
        <v>109</v>
      </c>
      <c r="C13" s="183">
        <v>3</v>
      </c>
      <c r="D13" s="184">
        <v>66.73</v>
      </c>
      <c r="E13" s="184">
        <f t="shared" si="0"/>
        <v>0.40461561516559269</v>
      </c>
      <c r="F13" s="174">
        <f t="shared" si="1"/>
        <v>298</v>
      </c>
      <c r="G13" s="136"/>
      <c r="H13" s="173">
        <f t="shared" si="2"/>
        <v>298</v>
      </c>
    </row>
    <row r="14" spans="1:11" x14ac:dyDescent="0.2">
      <c r="A14" s="168">
        <v>16</v>
      </c>
      <c r="B14" s="154" t="s">
        <v>101</v>
      </c>
      <c r="C14" s="171">
        <v>3</v>
      </c>
      <c r="D14" s="154">
        <v>71.2</v>
      </c>
      <c r="E14" s="154">
        <f t="shared" si="0"/>
        <v>0.3792134831460674</v>
      </c>
      <c r="F14" s="174">
        <f t="shared" si="1"/>
        <v>279</v>
      </c>
      <c r="G14" s="136"/>
      <c r="H14" s="173">
        <f t="shared" si="2"/>
        <v>279</v>
      </c>
    </row>
    <row r="15" spans="1:11" x14ac:dyDescent="0.2">
      <c r="A15" s="168">
        <v>2</v>
      </c>
      <c r="B15" s="154" t="s">
        <v>105</v>
      </c>
      <c r="C15" s="171">
        <v>2</v>
      </c>
      <c r="D15" s="154">
        <v>60.44</v>
      </c>
      <c r="E15" s="154">
        <f t="shared" si="0"/>
        <v>0.13236267372600927</v>
      </c>
      <c r="F15" s="174">
        <f t="shared" si="1"/>
        <v>97</v>
      </c>
      <c r="G15" s="136"/>
      <c r="H15" s="173">
        <f t="shared" si="2"/>
        <v>97</v>
      </c>
    </row>
    <row r="16" spans="1:11" x14ac:dyDescent="0.2">
      <c r="A16" s="168">
        <v>11</v>
      </c>
      <c r="B16" s="154" t="s">
        <v>111</v>
      </c>
      <c r="C16" s="171">
        <v>2</v>
      </c>
      <c r="D16" s="154">
        <v>71.84</v>
      </c>
      <c r="E16" s="154">
        <f t="shared" si="0"/>
        <v>0.11135857461024498</v>
      </c>
      <c r="F16" s="174">
        <f t="shared" si="1"/>
        <v>82</v>
      </c>
      <c r="G16" s="136"/>
      <c r="H16" s="173">
        <f t="shared" si="2"/>
        <v>82</v>
      </c>
    </row>
    <row r="17" spans="1:8" x14ac:dyDescent="0.2">
      <c r="A17" s="168">
        <v>14</v>
      </c>
      <c r="B17" s="154" t="s">
        <v>100</v>
      </c>
      <c r="C17" s="183" t="s">
        <v>43</v>
      </c>
      <c r="D17" s="154"/>
      <c r="E17" s="154">
        <v>0</v>
      </c>
      <c r="F17" s="174">
        <f t="shared" si="1"/>
        <v>0</v>
      </c>
      <c r="G17" s="136"/>
      <c r="H17" s="173">
        <f t="shared" si="2"/>
        <v>0</v>
      </c>
    </row>
    <row r="18" spans="1:8" x14ac:dyDescent="0.2">
      <c r="A18" s="168">
        <v>13</v>
      </c>
      <c r="B18" s="154" t="s">
        <v>112</v>
      </c>
      <c r="C18" s="183" t="s">
        <v>43</v>
      </c>
      <c r="D18" s="154"/>
      <c r="E18" s="154">
        <v>0</v>
      </c>
      <c r="F18" s="174">
        <f t="shared" si="1"/>
        <v>0</v>
      </c>
      <c r="G18" s="136"/>
      <c r="H18" s="173">
        <f t="shared" si="2"/>
        <v>0</v>
      </c>
    </row>
    <row r="19" spans="1:8" x14ac:dyDescent="0.2">
      <c r="A19" s="168">
        <v>15</v>
      </c>
      <c r="B19" s="154" t="s">
        <v>103</v>
      </c>
      <c r="C19" s="183" t="s">
        <v>43</v>
      </c>
      <c r="D19" s="154"/>
      <c r="E19" s="154">
        <v>0</v>
      </c>
      <c r="F19" s="174">
        <f t="shared" si="1"/>
        <v>0</v>
      </c>
      <c r="G19" s="136"/>
      <c r="H19" s="173">
        <f t="shared" si="2"/>
        <v>0</v>
      </c>
    </row>
    <row r="20" spans="1:8" x14ac:dyDescent="0.2">
      <c r="A20" s="168">
        <v>9</v>
      </c>
      <c r="B20" s="154" t="s">
        <v>102</v>
      </c>
      <c r="C20" s="183" t="s">
        <v>43</v>
      </c>
      <c r="D20" s="154"/>
      <c r="E20" s="154">
        <v>0</v>
      </c>
      <c r="F20" s="174">
        <f t="shared" si="1"/>
        <v>0</v>
      </c>
      <c r="G20" s="136"/>
      <c r="H20" s="173">
        <f t="shared" si="2"/>
        <v>0</v>
      </c>
    </row>
    <row r="21" spans="1:8" x14ac:dyDescent="0.2">
      <c r="A21" s="168">
        <v>5</v>
      </c>
      <c r="B21" s="154" t="s">
        <v>97</v>
      </c>
      <c r="C21" s="183" t="s">
        <v>43</v>
      </c>
      <c r="D21" s="184"/>
      <c r="E21" s="184">
        <v>0</v>
      </c>
      <c r="F21" s="174">
        <f t="shared" si="1"/>
        <v>0</v>
      </c>
      <c r="G21" s="136"/>
      <c r="H21" s="173">
        <f t="shared" si="2"/>
        <v>0</v>
      </c>
    </row>
    <row r="22" spans="1:8" ht="13.5" thickBot="1" x14ac:dyDescent="0.25">
      <c r="A22" s="178">
        <v>8</v>
      </c>
      <c r="B22" s="155" t="s">
        <v>106</v>
      </c>
      <c r="C22" s="298" t="s">
        <v>43</v>
      </c>
      <c r="D22" s="155"/>
      <c r="E22" s="155">
        <v>0</v>
      </c>
      <c r="F22" s="175">
        <f t="shared" si="1"/>
        <v>0</v>
      </c>
      <c r="G22" s="203"/>
      <c r="H22" s="204">
        <f t="shared" si="2"/>
        <v>0</v>
      </c>
    </row>
    <row r="23" spans="1:8" ht="15" x14ac:dyDescent="0.25">
      <c r="A23"/>
      <c r="B23"/>
    </row>
  </sheetData>
  <sortState ref="A4:H22">
    <sortCondition descending="1" ref="H4:H2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&amp;C&amp;A&amp;R&amp;D &amp;T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R23"/>
  <sheetViews>
    <sheetView zoomScaleNormal="100" workbookViewId="0">
      <selection activeCell="B21" sqref="B21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8.85546875" style="111" bestFit="1" customWidth="1"/>
    <col min="4" max="4" width="6.42578125" style="111" bestFit="1" customWidth="1"/>
    <col min="5" max="6" width="6.85546875" style="111" bestFit="1" customWidth="1"/>
    <col min="7" max="7" width="8.85546875" style="111" bestFit="1" customWidth="1"/>
    <col min="8" max="8" width="6.42578125" style="111" bestFit="1" customWidth="1"/>
    <col min="9" max="10" width="6.85546875" style="111" bestFit="1" customWidth="1"/>
    <col min="11" max="11" width="9" style="111" bestFit="1" customWidth="1"/>
    <col min="12" max="12" width="5.85546875" style="111" bestFit="1" customWidth="1"/>
    <col min="13" max="13" width="6" style="111" bestFit="1" customWidth="1"/>
    <col min="14" max="14" width="11.7109375" style="111" bestFit="1" customWidth="1"/>
    <col min="15" max="15" width="15.85546875" style="111" bestFit="1" customWidth="1"/>
    <col min="16" max="16" width="13.7109375" style="111" bestFit="1" customWidth="1"/>
    <col min="17" max="17" width="9.140625" style="111" bestFit="1" customWidth="1"/>
    <col min="18" max="18" width="6" style="111" bestFit="1" customWidth="1"/>
    <col min="19" max="16384" width="8.85546875" style="111"/>
  </cols>
  <sheetData>
    <row r="1" spans="1:18" x14ac:dyDescent="0.2">
      <c r="C1" s="314" t="s">
        <v>15</v>
      </c>
      <c r="D1" s="314">
        <v>1.17</v>
      </c>
      <c r="E1" s="314"/>
      <c r="I1" s="234"/>
    </row>
    <row r="2" spans="1:18" ht="13.5" thickBot="1" x14ac:dyDescent="0.25">
      <c r="C2" s="157"/>
      <c r="D2" s="157"/>
      <c r="E2" s="157"/>
      <c r="I2" s="157"/>
    </row>
    <row r="3" spans="1:18" ht="13.5" thickBot="1" x14ac:dyDescent="0.25">
      <c r="C3" s="338" t="s">
        <v>26</v>
      </c>
      <c r="D3" s="339"/>
      <c r="E3" s="340"/>
      <c r="F3" s="341"/>
      <c r="G3" s="338" t="s">
        <v>27</v>
      </c>
      <c r="H3" s="339"/>
      <c r="I3" s="340"/>
      <c r="J3" s="341"/>
      <c r="K3" s="342"/>
      <c r="L3" s="343"/>
      <c r="P3" s="111">
        <f>1000/MAX(M5:M17)</f>
        <v>0.88166894664842677</v>
      </c>
    </row>
    <row r="4" spans="1:18" ht="26.25" thickBot="1" x14ac:dyDescent="0.25">
      <c r="A4" s="176" t="s">
        <v>126</v>
      </c>
      <c r="B4" s="114" t="s">
        <v>21</v>
      </c>
      <c r="C4" s="46" t="s">
        <v>45</v>
      </c>
      <c r="D4" s="300" t="s">
        <v>46</v>
      </c>
      <c r="E4" s="177" t="s">
        <v>28</v>
      </c>
      <c r="F4" s="117" t="s">
        <v>22</v>
      </c>
      <c r="G4" s="46" t="s">
        <v>45</v>
      </c>
      <c r="H4" s="300" t="s">
        <v>46</v>
      </c>
      <c r="I4" s="177" t="s">
        <v>28</v>
      </c>
      <c r="J4" s="117" t="s">
        <v>22</v>
      </c>
      <c r="K4" s="46" t="s">
        <v>47</v>
      </c>
      <c r="L4" s="117" t="s">
        <v>22</v>
      </c>
      <c r="M4" s="177" t="s">
        <v>48</v>
      </c>
      <c r="N4" s="177" t="s">
        <v>53</v>
      </c>
      <c r="P4" s="301" t="s">
        <v>16</v>
      </c>
      <c r="Q4" s="301" t="s">
        <v>18</v>
      </c>
    </row>
    <row r="5" spans="1:18" x14ac:dyDescent="0.2">
      <c r="A5" s="153">
        <v>14</v>
      </c>
      <c r="B5" s="153" t="s">
        <v>100</v>
      </c>
      <c r="C5" s="137"/>
      <c r="D5" s="312"/>
      <c r="E5" s="302"/>
      <c r="F5" s="303"/>
      <c r="G5" s="137"/>
      <c r="H5" s="312"/>
      <c r="I5" s="302"/>
      <c r="J5" s="303"/>
      <c r="K5" s="313"/>
      <c r="L5" s="303"/>
      <c r="M5" s="306"/>
      <c r="N5" s="306"/>
      <c r="O5" s="111" t="s">
        <v>43</v>
      </c>
      <c r="P5" s="166">
        <v>150</v>
      </c>
      <c r="Q5" s="157">
        <f>P5/1000</f>
        <v>0.15</v>
      </c>
    </row>
    <row r="6" spans="1:18" x14ac:dyDescent="0.2">
      <c r="A6" s="168">
        <v>17</v>
      </c>
      <c r="B6" s="154" t="s">
        <v>108</v>
      </c>
      <c r="C6" s="144">
        <v>14.17</v>
      </c>
      <c r="D6" s="304">
        <f t="shared" ref="D6:D11" si="0">$Q$5/(C6/3600)</f>
        <v>38.108680310515176</v>
      </c>
      <c r="E6" s="307"/>
      <c r="F6" s="305">
        <f t="shared" ref="F6:F11" si="1">$Q$7*D6/MAX($D$5:$D$17)*(1-E6)</f>
        <v>315.45518701482007</v>
      </c>
      <c r="G6" s="144">
        <v>20.83</v>
      </c>
      <c r="H6" s="304">
        <f t="shared" ref="H6:H11" si="2">$Q$5/(G6/3600)</f>
        <v>25.924147863658185</v>
      </c>
      <c r="I6" s="307"/>
      <c r="J6" s="305">
        <f t="shared" ref="J6:J11" si="3">$Q$8*MIN($H$5:$H$17)/H6*(1-I6)</f>
        <v>403.99534522885955</v>
      </c>
      <c r="K6" s="308">
        <f t="shared" ref="K6:K11" si="4">D6-H6</f>
        <v>12.184532446856991</v>
      </c>
      <c r="L6" s="305">
        <f t="shared" ref="L6:L11" si="5">$Q$9*K6/MAX($K$5:$K$17)</f>
        <v>91.906783650371324</v>
      </c>
      <c r="M6" s="309">
        <f t="shared" ref="M6:M11" si="6">SUM(F6,J6,L6)</f>
        <v>811.357315894051</v>
      </c>
      <c r="N6" s="309">
        <f t="shared" ref="N6:N11" si="7">M6*$P$3</f>
        <v>715.34855005980285</v>
      </c>
    </row>
    <row r="7" spans="1:18" x14ac:dyDescent="0.2">
      <c r="A7" s="168">
        <v>16</v>
      </c>
      <c r="B7" s="154" t="s">
        <v>101</v>
      </c>
      <c r="C7" s="144">
        <v>10.48</v>
      </c>
      <c r="D7" s="304">
        <f t="shared" si="0"/>
        <v>51.526717557251906</v>
      </c>
      <c r="E7" s="307"/>
      <c r="F7" s="305">
        <f t="shared" si="1"/>
        <v>426.52671755725186</v>
      </c>
      <c r="G7" s="144">
        <v>17.66</v>
      </c>
      <c r="H7" s="304">
        <f t="shared" si="2"/>
        <v>30.577576443941108</v>
      </c>
      <c r="I7" s="307"/>
      <c r="J7" s="305">
        <f t="shared" si="3"/>
        <v>342.51357641582621</v>
      </c>
      <c r="K7" s="308">
        <f t="shared" si="4"/>
        <v>20.949141113310798</v>
      </c>
      <c r="L7" s="305">
        <f t="shared" si="5"/>
        <v>158.01740348755072</v>
      </c>
      <c r="M7" s="309">
        <f t="shared" si="6"/>
        <v>927.05769746062879</v>
      </c>
      <c r="N7" s="309">
        <f t="shared" si="7"/>
        <v>817.35798360242848</v>
      </c>
      <c r="P7" s="311" t="s">
        <v>19</v>
      </c>
      <c r="Q7" s="166">
        <v>500</v>
      </c>
      <c r="R7" s="111" t="s">
        <v>35</v>
      </c>
    </row>
    <row r="8" spans="1:18" x14ac:dyDescent="0.2">
      <c r="A8" s="168">
        <v>18</v>
      </c>
      <c r="B8" s="154" t="s">
        <v>107</v>
      </c>
      <c r="C8" s="144">
        <v>8.94</v>
      </c>
      <c r="D8" s="304">
        <f t="shared" si="0"/>
        <v>60.402684563758392</v>
      </c>
      <c r="E8" s="307"/>
      <c r="F8" s="305">
        <f t="shared" si="1"/>
        <v>500</v>
      </c>
      <c r="G8" s="144">
        <v>19.809999999999999</v>
      </c>
      <c r="H8" s="304">
        <f t="shared" si="2"/>
        <v>27.258960121150935</v>
      </c>
      <c r="I8" s="307"/>
      <c r="J8" s="305">
        <f t="shared" si="3"/>
        <v>384.2125678820791</v>
      </c>
      <c r="K8" s="308">
        <f t="shared" si="4"/>
        <v>33.143724442607457</v>
      </c>
      <c r="L8" s="305">
        <f t="shared" si="5"/>
        <v>249.99999999999997</v>
      </c>
      <c r="M8" s="309">
        <f t="shared" si="6"/>
        <v>1134.2125678820792</v>
      </c>
      <c r="N8" s="309">
        <f t="shared" si="7"/>
        <v>1000</v>
      </c>
      <c r="P8" s="311" t="s">
        <v>20</v>
      </c>
      <c r="Q8" s="166">
        <v>500</v>
      </c>
      <c r="R8" s="111" t="s">
        <v>35</v>
      </c>
    </row>
    <row r="9" spans="1:18" x14ac:dyDescent="0.2">
      <c r="A9" s="168">
        <v>10</v>
      </c>
      <c r="B9" s="154" t="s">
        <v>110</v>
      </c>
      <c r="C9" s="144">
        <v>14.71</v>
      </c>
      <c r="D9" s="304">
        <f t="shared" si="0"/>
        <v>36.709721278042146</v>
      </c>
      <c r="E9" s="307"/>
      <c r="F9" s="305">
        <f t="shared" si="1"/>
        <v>303.87491502379333</v>
      </c>
      <c r="G9" s="144">
        <v>25.78</v>
      </c>
      <c r="H9" s="304">
        <f t="shared" si="2"/>
        <v>20.946470131885182</v>
      </c>
      <c r="I9" s="307"/>
      <c r="J9" s="305">
        <f t="shared" si="3"/>
        <v>499.99999999999994</v>
      </c>
      <c r="K9" s="308">
        <f t="shared" si="4"/>
        <v>15.763251146156964</v>
      </c>
      <c r="L9" s="305">
        <f t="shared" si="5"/>
        <v>118.90072261985088</v>
      </c>
      <c r="M9" s="309">
        <f t="shared" si="6"/>
        <v>922.77563764364413</v>
      </c>
      <c r="N9" s="309">
        <f t="shared" si="7"/>
        <v>813.58262443410206</v>
      </c>
      <c r="P9" s="311" t="s">
        <v>17</v>
      </c>
      <c r="Q9" s="166">
        <v>250</v>
      </c>
      <c r="R9" s="111" t="s">
        <v>35</v>
      </c>
    </row>
    <row r="10" spans="1:18" x14ac:dyDescent="0.2">
      <c r="A10" s="168">
        <v>11</v>
      </c>
      <c r="B10" s="154" t="s">
        <v>111</v>
      </c>
      <c r="C10" s="144">
        <v>15.6</v>
      </c>
      <c r="D10" s="304">
        <f t="shared" si="0"/>
        <v>34.615384615384613</v>
      </c>
      <c r="E10" s="307"/>
      <c r="F10" s="305">
        <f t="shared" si="1"/>
        <v>286.53846153846149</v>
      </c>
      <c r="G10" s="144">
        <v>18.71</v>
      </c>
      <c r="H10" s="304">
        <f t="shared" si="2"/>
        <v>28.861571352218061</v>
      </c>
      <c r="I10" s="307"/>
      <c r="J10" s="305">
        <f t="shared" si="3"/>
        <v>362.87820015515905</v>
      </c>
      <c r="K10" s="308">
        <f t="shared" si="4"/>
        <v>5.7538132631665526</v>
      </c>
      <c r="L10" s="305">
        <f t="shared" si="5"/>
        <v>43.400472939681286</v>
      </c>
      <c r="M10" s="309">
        <f t="shared" si="6"/>
        <v>692.81713463330186</v>
      </c>
      <c r="N10" s="309">
        <f t="shared" si="7"/>
        <v>610.83535331212454</v>
      </c>
    </row>
    <row r="11" spans="1:18" x14ac:dyDescent="0.2">
      <c r="A11" s="168">
        <v>3</v>
      </c>
      <c r="B11" s="154" t="s">
        <v>56</v>
      </c>
      <c r="C11" s="144">
        <v>16.12</v>
      </c>
      <c r="D11" s="304">
        <f t="shared" si="0"/>
        <v>33.49875930521091</v>
      </c>
      <c r="E11" s="307"/>
      <c r="F11" s="305">
        <f t="shared" si="1"/>
        <v>277.29528535980137</v>
      </c>
      <c r="G11" s="144">
        <v>21.28</v>
      </c>
      <c r="H11" s="304">
        <f t="shared" si="2"/>
        <v>25.375939849624057</v>
      </c>
      <c r="I11" s="307"/>
      <c r="J11" s="305">
        <f t="shared" si="3"/>
        <v>412.7230411171451</v>
      </c>
      <c r="K11" s="308">
        <f t="shared" si="4"/>
        <v>8.1228194555868534</v>
      </c>
      <c r="L11" s="305">
        <f t="shared" si="5"/>
        <v>61.269664108303068</v>
      </c>
      <c r="M11" s="309">
        <f t="shared" si="6"/>
        <v>751.28799058524953</v>
      </c>
      <c r="N11" s="309">
        <f t="shared" si="7"/>
        <v>662.38729128891009</v>
      </c>
    </row>
    <row r="12" spans="1:18" x14ac:dyDescent="0.2">
      <c r="A12" s="168">
        <v>13</v>
      </c>
      <c r="B12" s="154" t="s">
        <v>112</v>
      </c>
      <c r="C12" s="144"/>
      <c r="D12" s="304"/>
      <c r="E12" s="307"/>
      <c r="F12" s="305"/>
      <c r="G12" s="144"/>
      <c r="H12" s="304"/>
      <c r="I12" s="307"/>
      <c r="J12" s="305"/>
      <c r="K12" s="308"/>
      <c r="L12" s="305"/>
      <c r="M12" s="309"/>
      <c r="N12" s="309"/>
      <c r="O12" s="111" t="s">
        <v>43</v>
      </c>
    </row>
    <row r="13" spans="1:18" x14ac:dyDescent="0.2">
      <c r="A13" s="168">
        <v>15</v>
      </c>
      <c r="B13" s="154" t="s">
        <v>103</v>
      </c>
      <c r="C13" s="144"/>
      <c r="D13" s="304"/>
      <c r="E13" s="307"/>
      <c r="F13" s="305"/>
      <c r="G13" s="144"/>
      <c r="H13" s="304"/>
      <c r="I13" s="307"/>
      <c r="J13" s="305"/>
      <c r="K13" s="308"/>
      <c r="L13" s="305"/>
      <c r="M13" s="309"/>
      <c r="N13" s="309"/>
      <c r="O13" s="111" t="s">
        <v>43</v>
      </c>
    </row>
    <row r="14" spans="1:18" x14ac:dyDescent="0.2">
      <c r="A14" s="168">
        <v>1</v>
      </c>
      <c r="B14" s="154" t="s">
        <v>59</v>
      </c>
      <c r="C14" s="310">
        <v>9.56</v>
      </c>
      <c r="D14" s="304">
        <f>$Q$5/(C14/3600)</f>
        <v>56.48535564853556</v>
      </c>
      <c r="E14" s="307"/>
      <c r="F14" s="305">
        <f>$Q$7*D14/MAX($D$5:$D$17)*(1-E14)</f>
        <v>467.57322175732213</v>
      </c>
      <c r="G14" s="144">
        <v>16.53</v>
      </c>
      <c r="H14" s="304">
        <f>$Q$5/(G14/3600)</f>
        <v>32.667876588021777</v>
      </c>
      <c r="I14" s="307"/>
      <c r="J14" s="305">
        <f>$Q$8*MIN($H$5:$H$17)/H14*(1-I14)</f>
        <v>320.59736229635377</v>
      </c>
      <c r="K14" s="308">
        <f>D14-H14</f>
        <v>23.817479060513783</v>
      </c>
      <c r="L14" s="305">
        <f>$Q$9*K14/MAX($K$5:$K$17)</f>
        <v>179.65300717603986</v>
      </c>
      <c r="M14" s="309">
        <f>SUM(F14,J14,L14)</f>
        <v>967.8235912297157</v>
      </c>
      <c r="N14" s="309">
        <f>M14*$P$3</f>
        <v>853.30000622100101</v>
      </c>
      <c r="O14" s="111" t="s">
        <v>164</v>
      </c>
    </row>
    <row r="15" spans="1:18" x14ac:dyDescent="0.2">
      <c r="A15" s="168">
        <v>9</v>
      </c>
      <c r="B15" s="154" t="s">
        <v>102</v>
      </c>
      <c r="C15" s="144"/>
      <c r="D15" s="304"/>
      <c r="E15" s="307"/>
      <c r="F15" s="305"/>
      <c r="G15" s="144"/>
      <c r="H15" s="304"/>
      <c r="I15" s="307"/>
      <c r="J15" s="305"/>
      <c r="K15" s="308"/>
      <c r="L15" s="305"/>
      <c r="M15" s="309"/>
      <c r="N15" s="309"/>
      <c r="O15" s="111" t="s">
        <v>43</v>
      </c>
    </row>
    <row r="16" spans="1:18" x14ac:dyDescent="0.2">
      <c r="A16" s="168">
        <v>6</v>
      </c>
      <c r="B16" s="154" t="s">
        <v>58</v>
      </c>
      <c r="C16" s="144">
        <v>10.92</v>
      </c>
      <c r="D16" s="304">
        <f>$Q$5/(C16/3600)</f>
        <v>49.450549450549453</v>
      </c>
      <c r="E16" s="307"/>
      <c r="F16" s="305">
        <f>$Q$7*D16/MAX($D$5:$D$17)*(1-E16)</f>
        <v>409.34065934065933</v>
      </c>
      <c r="G16" s="144">
        <v>20.49</v>
      </c>
      <c r="H16" s="304">
        <f>$Q$5/(G16/3600)</f>
        <v>26.354319180087849</v>
      </c>
      <c r="I16" s="307"/>
      <c r="J16" s="305">
        <f>$Q$8*MIN($H$5:$H$17)/H16*(1-I16)</f>
        <v>397.40108611326605</v>
      </c>
      <c r="K16" s="308">
        <f>D16-H16</f>
        <v>23.096230270461604</v>
      </c>
      <c r="L16" s="305">
        <f>$Q$9*K16/MAX($K$5:$K$17)</f>
        <v>174.21269530568028</v>
      </c>
      <c r="M16" s="309">
        <f>SUM(F16,J16,L16)</f>
        <v>980.95444075960575</v>
      </c>
      <c r="N16" s="309">
        <f>M16*$P$3</f>
        <v>864.87706849461813</v>
      </c>
    </row>
    <row r="17" spans="1:15" x14ac:dyDescent="0.2">
      <c r="A17" s="168">
        <v>2</v>
      </c>
      <c r="B17" s="154" t="s">
        <v>105</v>
      </c>
      <c r="C17" s="144">
        <v>10.57</v>
      </c>
      <c r="D17" s="304">
        <f>$Q$5/(C17/3600)</f>
        <v>51.087984862819297</v>
      </c>
      <c r="E17" s="307"/>
      <c r="F17" s="305">
        <f>$Q$7*D17/MAX($D$5:$D$17)*(1-E17)</f>
        <v>422.89498580889307</v>
      </c>
      <c r="G17" s="144">
        <v>19.100000000000001</v>
      </c>
      <c r="H17" s="304">
        <f>$Q$5/(G17/3600)</f>
        <v>28.272251308900522</v>
      </c>
      <c r="I17" s="307"/>
      <c r="J17" s="305">
        <f>$Q$8*MIN($H$5:$H$17)/H17*(1-I17)</f>
        <v>370.44220325833976</v>
      </c>
      <c r="K17" s="308">
        <f>D17-H17</f>
        <v>22.815733553918776</v>
      </c>
      <c r="L17" s="305">
        <f>$Q$9*K17/MAX($K$5:$K$17)</f>
        <v>172.09693492222863</v>
      </c>
      <c r="M17" s="309">
        <f>SUM(F17,J17,L17)</f>
        <v>965.43412398946157</v>
      </c>
      <c r="N17" s="309">
        <f>M17*$P$3</f>
        <v>851.19328715623521</v>
      </c>
    </row>
    <row r="18" spans="1:15" x14ac:dyDescent="0.2">
      <c r="A18" s="168">
        <v>19</v>
      </c>
      <c r="B18" s="154" t="s">
        <v>99</v>
      </c>
      <c r="C18" s="144">
        <v>9</v>
      </c>
      <c r="D18" s="304">
        <f>$Q$5/(C18/3600)</f>
        <v>60</v>
      </c>
      <c r="E18" s="307"/>
      <c r="F18" s="305">
        <f>$Q$7*D18/MAX($D$5:$D$17)*(1-E18)</f>
        <v>496.66666666666663</v>
      </c>
      <c r="G18" s="144">
        <v>18.22</v>
      </c>
      <c r="H18" s="304">
        <f>$Q$5/(G18/3600)</f>
        <v>29.637760702524698</v>
      </c>
      <c r="I18" s="307"/>
      <c r="J18" s="305">
        <f>$Q$8*MIN($H$5:$H$17)/H18*(1-I18)</f>
        <v>353.3747090768037</v>
      </c>
      <c r="K18" s="308">
        <f>D18-H18</f>
        <v>30.362239297475302</v>
      </c>
      <c r="L18" s="305">
        <f>$Q$9*K18/MAX($K$5:$K$17)</f>
        <v>229.01951883871223</v>
      </c>
      <c r="M18" s="309">
        <f>SUM(F18,J18,L18)</f>
        <v>1079.0608945821825</v>
      </c>
      <c r="N18" s="309">
        <f>M18*$P$3</f>
        <v>951.37448229578195</v>
      </c>
    </row>
    <row r="19" spans="1:15" x14ac:dyDescent="0.2">
      <c r="A19" s="168">
        <v>7</v>
      </c>
      <c r="B19" s="154" t="s">
        <v>113</v>
      </c>
      <c r="C19" s="144">
        <v>10.84</v>
      </c>
      <c r="D19" s="304">
        <f>$Q$5/(C19/3600)</f>
        <v>49.815498154981547</v>
      </c>
      <c r="E19" s="307"/>
      <c r="F19" s="305">
        <f>$Q$7*D19/MAX($D$5:$D$17)*(1-E19)</f>
        <v>412.36162361623616</v>
      </c>
      <c r="G19" s="144">
        <v>19.190000000000001</v>
      </c>
      <c r="H19" s="304">
        <f>$Q$5/(G19/3600)</f>
        <v>28.139656070870242</v>
      </c>
      <c r="I19" s="307"/>
      <c r="J19" s="305">
        <f>$Q$8*MIN($H$5:$H$17)/H19*(1-I19)</f>
        <v>372.18774243599688</v>
      </c>
      <c r="K19" s="308">
        <f>D19-H19</f>
        <v>21.675842084111306</v>
      </c>
      <c r="L19" s="305">
        <f>$Q$9*K19/MAX($K$5:$K$17)</f>
        <v>163.49884064512548</v>
      </c>
      <c r="M19" s="309">
        <f>SUM(F19,J19,L19)</f>
        <v>948.04820669735852</v>
      </c>
      <c r="N19" s="309">
        <f>M19*$P$3</f>
        <v>835.86466377079012</v>
      </c>
    </row>
    <row r="20" spans="1:15" x14ac:dyDescent="0.2">
      <c r="A20" s="168">
        <v>4</v>
      </c>
      <c r="B20" s="154" t="s">
        <v>109</v>
      </c>
      <c r="C20" s="144">
        <v>11.07</v>
      </c>
      <c r="D20" s="304">
        <f>$Q$5/(C20/3600)</f>
        <v>48.780487804878049</v>
      </c>
      <c r="E20" s="307"/>
      <c r="F20" s="305">
        <f>$Q$7*D20/MAX($D$5:$D$17)*(1-E20)</f>
        <v>403.79403794037944</v>
      </c>
      <c r="G20" s="144">
        <v>19.149999999999999</v>
      </c>
      <c r="H20" s="304">
        <f>$Q$5/(G20/3600)</f>
        <v>28.198433420365536</v>
      </c>
      <c r="I20" s="307"/>
      <c r="J20" s="305">
        <f>$Q$8*MIN($H$5:$H$17)/H20*(1-I20)</f>
        <v>371.41194724592702</v>
      </c>
      <c r="K20" s="308">
        <f>D20-H20</f>
        <v>20.582054384512514</v>
      </c>
      <c r="L20" s="305">
        <f>$Q$9*K20/MAX($K$5:$K$17)</f>
        <v>155.24850277578898</v>
      </c>
      <c r="M20" s="309">
        <f>SUM(F20,J20,L20)</f>
        <v>930.45448796209541</v>
      </c>
      <c r="N20" s="309">
        <f>M20*$P$3</f>
        <v>820.35282830584197</v>
      </c>
    </row>
    <row r="21" spans="1:15" x14ac:dyDescent="0.2">
      <c r="A21" s="168">
        <v>5</v>
      </c>
      <c r="B21" s="154" t="s">
        <v>97</v>
      </c>
      <c r="C21" s="144"/>
      <c r="D21" s="304"/>
      <c r="E21" s="307"/>
      <c r="F21" s="305"/>
      <c r="G21" s="144"/>
      <c r="H21" s="304"/>
      <c r="I21" s="307"/>
      <c r="J21" s="305"/>
      <c r="K21" s="308"/>
      <c r="L21" s="305"/>
      <c r="M21" s="309"/>
      <c r="N21" s="309"/>
      <c r="O21" s="111" t="s">
        <v>43</v>
      </c>
    </row>
    <row r="22" spans="1:15" x14ac:dyDescent="0.2">
      <c r="A22" s="168">
        <v>12</v>
      </c>
      <c r="B22" s="154" t="s">
        <v>104</v>
      </c>
      <c r="C22" s="144">
        <v>10.220000000000001</v>
      </c>
      <c r="D22" s="304">
        <f>$Q$5/(C22/3600)</f>
        <v>52.837573385518589</v>
      </c>
      <c r="E22" s="307"/>
      <c r="F22" s="305">
        <f>$Q$7*D22/MAX($D$5:$D$17)*(1-E22)</f>
        <v>437.3776908023483</v>
      </c>
      <c r="G22" s="144">
        <v>22.54</v>
      </c>
      <c r="H22" s="304">
        <f>$Q$5/(G22/3600)</f>
        <v>23.957409050576754</v>
      </c>
      <c r="I22" s="307"/>
      <c r="J22" s="305">
        <f>$Q$8*MIN($H$5:$H$17)/H22*(1-I22)</f>
        <v>437.16058960434441</v>
      </c>
      <c r="K22" s="308">
        <f>D22-H22</f>
        <v>28.880164334941835</v>
      </c>
      <c r="L22" s="305">
        <f>$Q$9*K22/MAX($K$5:$K$17)</f>
        <v>217.84036662016879</v>
      </c>
      <c r="M22" s="309">
        <f>SUM(F22,J22,L22)</f>
        <v>1092.3786470268615</v>
      </c>
      <c r="N22" s="309">
        <f>M22*$P$3</f>
        <v>963.11633106540648</v>
      </c>
    </row>
    <row r="23" spans="1:15" x14ac:dyDescent="0.2">
      <c r="A23" s="168">
        <v>8</v>
      </c>
      <c r="B23" s="154" t="s">
        <v>106</v>
      </c>
      <c r="C23" s="144"/>
      <c r="D23" s="304"/>
      <c r="E23" s="307"/>
      <c r="F23" s="305"/>
      <c r="G23" s="144"/>
      <c r="H23" s="304"/>
      <c r="I23" s="307"/>
      <c r="J23" s="305"/>
      <c r="K23" s="308"/>
      <c r="L23" s="305"/>
      <c r="M23" s="309"/>
      <c r="N23" s="309"/>
      <c r="O23" s="111" t="s">
        <v>43</v>
      </c>
    </row>
  </sheetData>
  <sortState ref="A5:O23">
    <sortCondition ref="B5:B23"/>
  </sortState>
  <mergeCells count="3">
    <mergeCell ref="C3:F3"/>
    <mergeCell ref="G3:J3"/>
    <mergeCell ref="K3:L3"/>
  </mergeCells>
  <phoneticPr fontId="28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&amp;C&amp;A&amp;R&amp;D &amp;T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W21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X13" sqref="X13"/>
    </sheetView>
  </sheetViews>
  <sheetFormatPr defaultColWidth="8.85546875" defaultRowHeight="12.75" x14ac:dyDescent="0.2"/>
  <cols>
    <col min="1" max="1" width="6" style="215" bestFit="1" customWidth="1"/>
    <col min="2" max="2" width="18.140625" style="215" bestFit="1" customWidth="1"/>
    <col min="3" max="18" width="9.28515625" style="215" customWidth="1"/>
    <col min="19" max="19" width="9.5703125" style="215" bestFit="1" customWidth="1"/>
    <col min="20" max="20" width="8" style="215" bestFit="1" customWidth="1"/>
    <col min="21" max="21" width="8.7109375" style="215" customWidth="1"/>
    <col min="22" max="22" width="8" style="215" customWidth="1"/>
    <col min="23" max="23" width="9.28515625" style="215" customWidth="1"/>
    <col min="24" max="24" width="26.7109375" style="215" bestFit="1" customWidth="1"/>
    <col min="25" max="16384" width="8.85546875" style="215"/>
  </cols>
  <sheetData>
    <row r="1" spans="1:23" customFormat="1" ht="15.75" thickBot="1" x14ac:dyDescent="0.3">
      <c r="B1" t="s">
        <v>131</v>
      </c>
      <c r="C1" s="330">
        <v>1.1000000000000001</v>
      </c>
      <c r="D1" s="330">
        <v>1.2</v>
      </c>
      <c r="E1" s="330">
        <v>1.3</v>
      </c>
      <c r="F1" s="330">
        <v>1.4</v>
      </c>
      <c r="G1" s="330">
        <v>1.5</v>
      </c>
      <c r="H1" s="330">
        <v>1.6</v>
      </c>
      <c r="I1" s="330">
        <v>1.7</v>
      </c>
      <c r="J1" s="330">
        <v>1.8</v>
      </c>
      <c r="K1" s="330">
        <v>1.9</v>
      </c>
      <c r="L1" s="331">
        <v>1.1000000000000001</v>
      </c>
      <c r="M1" s="330">
        <v>1.1100000000000001</v>
      </c>
      <c r="N1" s="331">
        <v>1.1200000000000001</v>
      </c>
      <c r="O1" s="330">
        <v>1.1299999999999999</v>
      </c>
      <c r="P1" s="331">
        <v>1.1399999999999999</v>
      </c>
      <c r="Q1" s="330">
        <v>1.1499999999999999</v>
      </c>
      <c r="R1" s="331">
        <v>1.1599999999999999</v>
      </c>
      <c r="S1" s="330">
        <v>1.17</v>
      </c>
      <c r="T1" s="331">
        <v>1.18</v>
      </c>
      <c r="U1" s="331">
        <v>1.19</v>
      </c>
      <c r="V1" s="331">
        <v>1.2</v>
      </c>
    </row>
    <row r="2" spans="1:23" s="221" customFormat="1" ht="26.25" customHeight="1" thickBot="1" x14ac:dyDescent="0.3">
      <c r="A2" s="176" t="s">
        <v>126</v>
      </c>
      <c r="B2" s="176" t="s">
        <v>21</v>
      </c>
      <c r="C2" s="223" t="s">
        <v>71</v>
      </c>
      <c r="D2" s="224" t="s">
        <v>62</v>
      </c>
      <c r="E2" s="224" t="s">
        <v>161</v>
      </c>
      <c r="F2" s="224" t="s">
        <v>69</v>
      </c>
      <c r="G2" s="224" t="s">
        <v>63</v>
      </c>
      <c r="H2" s="225" t="s">
        <v>128</v>
      </c>
      <c r="I2" s="224" t="s">
        <v>70</v>
      </c>
      <c r="J2" s="224" t="s">
        <v>148</v>
      </c>
      <c r="K2" s="225" t="s">
        <v>139</v>
      </c>
      <c r="L2" s="224" t="s">
        <v>146</v>
      </c>
      <c r="M2" s="226" t="s">
        <v>149</v>
      </c>
      <c r="N2" s="225" t="s">
        <v>142</v>
      </c>
      <c r="O2" s="227" t="s">
        <v>147</v>
      </c>
      <c r="P2" s="272" t="s">
        <v>160</v>
      </c>
      <c r="Q2" s="272" t="s">
        <v>157</v>
      </c>
      <c r="R2" s="334" t="s">
        <v>162</v>
      </c>
      <c r="S2" s="335" t="s">
        <v>168</v>
      </c>
      <c r="T2" s="336" t="s">
        <v>165</v>
      </c>
      <c r="U2" s="336" t="s">
        <v>169</v>
      </c>
      <c r="V2" s="336" t="s">
        <v>171</v>
      </c>
      <c r="W2" s="222" t="s">
        <v>52</v>
      </c>
    </row>
    <row r="3" spans="1:23" x14ac:dyDescent="0.2">
      <c r="A3" s="153">
        <v>1</v>
      </c>
      <c r="B3" s="153" t="s">
        <v>59</v>
      </c>
      <c r="C3" s="220">
        <v>1000</v>
      </c>
      <c r="D3" s="220">
        <v>100</v>
      </c>
      <c r="E3" s="220">
        <v>902</v>
      </c>
      <c r="F3" s="220">
        <v>100</v>
      </c>
      <c r="G3" s="220">
        <v>100</v>
      </c>
      <c r="H3" s="220">
        <v>979</v>
      </c>
      <c r="I3" s="220">
        <v>100</v>
      </c>
      <c r="J3" s="220">
        <v>100</v>
      </c>
      <c r="K3" s="220">
        <v>934</v>
      </c>
      <c r="L3" s="220">
        <v>100</v>
      </c>
      <c r="M3" s="220">
        <v>73.73737373737373</v>
      </c>
      <c r="N3" s="220">
        <v>957</v>
      </c>
      <c r="O3" s="228">
        <v>100</v>
      </c>
      <c r="P3" s="273">
        <v>737</v>
      </c>
      <c r="Q3" s="273">
        <v>956.14035087719299</v>
      </c>
      <c r="R3" s="273">
        <v>884</v>
      </c>
      <c r="S3" s="273">
        <v>853.30000622100101</v>
      </c>
      <c r="T3" s="273">
        <v>984.67936091048364</v>
      </c>
      <c r="U3" s="273">
        <v>856.62878787878799</v>
      </c>
      <c r="V3" s="273">
        <v>794</v>
      </c>
      <c r="W3" s="231">
        <v>11611.485879624839</v>
      </c>
    </row>
    <row r="4" spans="1:23" x14ac:dyDescent="0.2">
      <c r="A4" s="168">
        <v>18</v>
      </c>
      <c r="B4" s="154" t="s">
        <v>107</v>
      </c>
      <c r="C4" s="216">
        <v>866.66666666666663</v>
      </c>
      <c r="D4" s="216">
        <v>100</v>
      </c>
      <c r="E4" s="216">
        <v>1000</v>
      </c>
      <c r="F4" s="216">
        <v>100</v>
      </c>
      <c r="G4" s="216">
        <v>100</v>
      </c>
      <c r="H4" s="216">
        <v>1000</v>
      </c>
      <c r="I4" s="216">
        <v>100</v>
      </c>
      <c r="J4" s="216">
        <v>46.706586826347305</v>
      </c>
      <c r="K4" s="216">
        <v>998</v>
      </c>
      <c r="L4" s="217">
        <v>100</v>
      </c>
      <c r="M4" s="217">
        <v>62.393162393162392</v>
      </c>
      <c r="N4" s="217">
        <v>994</v>
      </c>
      <c r="O4" s="229">
        <v>40</v>
      </c>
      <c r="P4" s="274">
        <v>661</v>
      </c>
      <c r="Q4" s="274">
        <v>1000</v>
      </c>
      <c r="R4" s="274">
        <v>451</v>
      </c>
      <c r="S4" s="274">
        <v>1000</v>
      </c>
      <c r="T4" s="274">
        <v>948.95591647331798</v>
      </c>
      <c r="U4" s="274">
        <v>1000</v>
      </c>
      <c r="V4" s="274">
        <v>1000</v>
      </c>
      <c r="W4" s="232">
        <v>11568.722332359494</v>
      </c>
    </row>
    <row r="5" spans="1:23" x14ac:dyDescent="0.2">
      <c r="A5" s="168">
        <v>12</v>
      </c>
      <c r="B5" s="154" t="s">
        <v>104</v>
      </c>
      <c r="C5" s="216">
        <v>1000</v>
      </c>
      <c r="D5" s="216">
        <v>100</v>
      </c>
      <c r="E5" s="216">
        <v>863</v>
      </c>
      <c r="F5" s="216">
        <v>75</v>
      </c>
      <c r="G5" s="216">
        <v>100</v>
      </c>
      <c r="H5" s="216">
        <v>813</v>
      </c>
      <c r="I5" s="216">
        <v>100</v>
      </c>
      <c r="J5" s="216">
        <v>56.934306569343065</v>
      </c>
      <c r="K5" s="216">
        <v>872</v>
      </c>
      <c r="L5" s="217">
        <v>0</v>
      </c>
      <c r="M5" s="217">
        <v>79.34782608695653</v>
      </c>
      <c r="N5" s="217">
        <v>815</v>
      </c>
      <c r="O5" s="229">
        <v>40</v>
      </c>
      <c r="P5" s="274">
        <v>760</v>
      </c>
      <c r="Q5" s="274">
        <v>912.28070175438597</v>
      </c>
      <c r="R5" s="274">
        <v>868</v>
      </c>
      <c r="S5" s="274">
        <v>963.11633106540648</v>
      </c>
      <c r="T5" s="274">
        <v>843.61522595162205</v>
      </c>
      <c r="U5" s="274">
        <v>968.52248394004278</v>
      </c>
      <c r="V5" s="274">
        <v>813</v>
      </c>
      <c r="W5" s="232">
        <v>11042.816875367756</v>
      </c>
    </row>
    <row r="6" spans="1:23" x14ac:dyDescent="0.2">
      <c r="A6" s="168">
        <v>19</v>
      </c>
      <c r="B6" s="154" t="s">
        <v>99</v>
      </c>
      <c r="C6" s="216">
        <v>1000</v>
      </c>
      <c r="D6" s="216">
        <v>100</v>
      </c>
      <c r="E6" s="216">
        <v>994</v>
      </c>
      <c r="F6" s="216">
        <v>100</v>
      </c>
      <c r="G6" s="216">
        <v>100</v>
      </c>
      <c r="H6" s="216">
        <v>0</v>
      </c>
      <c r="I6" s="216">
        <v>100</v>
      </c>
      <c r="J6" s="216">
        <v>91.764705882352942</v>
      </c>
      <c r="K6" s="216">
        <v>1000</v>
      </c>
      <c r="L6" s="217">
        <v>100</v>
      </c>
      <c r="M6" s="217">
        <v>100</v>
      </c>
      <c r="N6" s="217">
        <v>1000</v>
      </c>
      <c r="O6" s="229">
        <v>100</v>
      </c>
      <c r="P6" s="274">
        <v>696</v>
      </c>
      <c r="Q6" s="274">
        <v>473.68421052631572</v>
      </c>
      <c r="R6" s="274">
        <v>1000</v>
      </c>
      <c r="S6" s="274">
        <v>951.37448229578195</v>
      </c>
      <c r="T6" s="274">
        <v>1000</v>
      </c>
      <c r="U6" s="274">
        <v>980.70251517779707</v>
      </c>
      <c r="V6" s="274">
        <v>866</v>
      </c>
      <c r="W6" s="232">
        <v>10753.525913882248</v>
      </c>
    </row>
    <row r="7" spans="1:23" x14ac:dyDescent="0.2">
      <c r="A7" s="168">
        <v>7</v>
      </c>
      <c r="B7" s="154" t="s">
        <v>113</v>
      </c>
      <c r="C7" s="216">
        <v>666.66666666666663</v>
      </c>
      <c r="D7" s="216">
        <v>100</v>
      </c>
      <c r="E7" s="216">
        <v>806</v>
      </c>
      <c r="F7" s="216">
        <v>100</v>
      </c>
      <c r="G7" s="216">
        <v>100</v>
      </c>
      <c r="H7" s="216">
        <v>879</v>
      </c>
      <c r="I7" s="216">
        <v>100</v>
      </c>
      <c r="J7" s="216">
        <v>73.584905660377359</v>
      </c>
      <c r="K7" s="216">
        <v>871</v>
      </c>
      <c r="L7" s="217">
        <v>60</v>
      </c>
      <c r="M7" s="217">
        <v>70.873786407766985</v>
      </c>
      <c r="N7" s="217">
        <v>833</v>
      </c>
      <c r="O7" s="229">
        <v>0</v>
      </c>
      <c r="P7" s="274">
        <v>737</v>
      </c>
      <c r="Q7" s="274">
        <v>710.52631578947364</v>
      </c>
      <c r="R7" s="274">
        <v>613</v>
      </c>
      <c r="S7" s="274">
        <v>835.86466377079012</v>
      </c>
      <c r="T7" s="274">
        <v>798.96998756881555</v>
      </c>
      <c r="U7" s="274">
        <v>764.14934955228921</v>
      </c>
      <c r="V7" s="274">
        <v>758</v>
      </c>
      <c r="W7" s="232">
        <v>9877.6356754161789</v>
      </c>
    </row>
    <row r="8" spans="1:23" x14ac:dyDescent="0.2">
      <c r="A8" s="168">
        <v>2</v>
      </c>
      <c r="B8" s="154" t="s">
        <v>105</v>
      </c>
      <c r="C8" s="216">
        <v>866.66666666666663</v>
      </c>
      <c r="D8" s="216">
        <v>100</v>
      </c>
      <c r="E8" s="216">
        <v>858</v>
      </c>
      <c r="F8" s="216">
        <v>50</v>
      </c>
      <c r="G8" s="216">
        <v>100</v>
      </c>
      <c r="H8" s="216">
        <v>896</v>
      </c>
      <c r="I8" s="216">
        <v>100</v>
      </c>
      <c r="J8" s="216">
        <v>47.272727272727273</v>
      </c>
      <c r="K8" s="216">
        <v>920</v>
      </c>
      <c r="L8" s="217">
        <v>0</v>
      </c>
      <c r="M8" s="217">
        <v>38.21989528795811</v>
      </c>
      <c r="N8" s="217">
        <v>883</v>
      </c>
      <c r="O8" s="229">
        <v>0</v>
      </c>
      <c r="P8" s="274">
        <v>668</v>
      </c>
      <c r="Q8" s="274">
        <v>890.35087719298247</v>
      </c>
      <c r="R8" s="274">
        <v>97</v>
      </c>
      <c r="S8" s="274">
        <v>851.19328715623521</v>
      </c>
      <c r="T8" s="274">
        <v>812.68063583815035</v>
      </c>
      <c r="U8" s="274">
        <v>0</v>
      </c>
      <c r="V8" s="274">
        <v>800</v>
      </c>
      <c r="W8" s="232">
        <v>8978.3840894147197</v>
      </c>
    </row>
    <row r="9" spans="1:23" x14ac:dyDescent="0.2">
      <c r="A9" s="168">
        <v>10</v>
      </c>
      <c r="B9" s="154" t="s">
        <v>110</v>
      </c>
      <c r="C9" s="216">
        <v>320</v>
      </c>
      <c r="D9" s="216">
        <v>100</v>
      </c>
      <c r="E9" s="216">
        <v>734</v>
      </c>
      <c r="F9" s="216">
        <v>25</v>
      </c>
      <c r="G9" s="216">
        <v>100</v>
      </c>
      <c r="H9" s="216">
        <v>643</v>
      </c>
      <c r="I9" s="216">
        <v>25</v>
      </c>
      <c r="J9" s="216">
        <v>40.344827586206897</v>
      </c>
      <c r="K9" s="216">
        <v>719</v>
      </c>
      <c r="L9" s="217">
        <v>20</v>
      </c>
      <c r="M9" s="217">
        <v>42.19653179190751</v>
      </c>
      <c r="N9" s="217">
        <v>639</v>
      </c>
      <c r="O9" s="229">
        <v>0</v>
      </c>
      <c r="P9" s="274">
        <v>750</v>
      </c>
      <c r="Q9" s="274">
        <v>666.66666666666663</v>
      </c>
      <c r="R9" s="274">
        <v>754</v>
      </c>
      <c r="S9" s="274">
        <v>813.58262443410206</v>
      </c>
      <c r="T9" s="274">
        <v>653.25976477421216</v>
      </c>
      <c r="U9" s="274">
        <v>676.38701959024968</v>
      </c>
      <c r="V9" s="274">
        <v>657</v>
      </c>
      <c r="W9" s="232">
        <v>8378.4374348433448</v>
      </c>
    </row>
    <row r="10" spans="1:23" x14ac:dyDescent="0.2">
      <c r="A10" s="168">
        <v>17</v>
      </c>
      <c r="B10" s="154" t="s">
        <v>108</v>
      </c>
      <c r="C10" s="216">
        <v>666.66666666666663</v>
      </c>
      <c r="D10" s="216">
        <v>100</v>
      </c>
      <c r="E10" s="216">
        <v>628</v>
      </c>
      <c r="F10" s="216">
        <v>0</v>
      </c>
      <c r="G10" s="216">
        <v>100</v>
      </c>
      <c r="H10" s="216">
        <v>594</v>
      </c>
      <c r="I10" s="216">
        <v>100</v>
      </c>
      <c r="J10" s="216">
        <v>61.417322834645674</v>
      </c>
      <c r="K10" s="216">
        <v>373</v>
      </c>
      <c r="L10" s="217">
        <v>0</v>
      </c>
      <c r="M10" s="217">
        <v>55.303030303030312</v>
      </c>
      <c r="N10" s="217">
        <v>674</v>
      </c>
      <c r="O10" s="229">
        <v>0</v>
      </c>
      <c r="P10" s="274">
        <v>815</v>
      </c>
      <c r="Q10" s="274">
        <v>846.49122807017545</v>
      </c>
      <c r="R10" s="274">
        <v>653</v>
      </c>
      <c r="S10" s="274">
        <v>715.34855005980285</v>
      </c>
      <c r="T10" s="274">
        <v>553.5187007874016</v>
      </c>
      <c r="U10" s="274">
        <v>539.60868527797663</v>
      </c>
      <c r="V10" s="274">
        <v>625</v>
      </c>
      <c r="W10" s="232">
        <v>8100.3541839996988</v>
      </c>
    </row>
    <row r="11" spans="1:23" x14ac:dyDescent="0.2">
      <c r="A11" s="168">
        <v>6</v>
      </c>
      <c r="B11" s="154" t="s">
        <v>58</v>
      </c>
      <c r="C11" s="216">
        <v>0</v>
      </c>
      <c r="D11" s="216">
        <v>100</v>
      </c>
      <c r="E11" s="216">
        <v>756</v>
      </c>
      <c r="F11" s="216">
        <v>0</v>
      </c>
      <c r="G11" s="216">
        <v>100</v>
      </c>
      <c r="H11" s="216">
        <v>720</v>
      </c>
      <c r="I11" s="216">
        <v>0</v>
      </c>
      <c r="J11" s="216">
        <v>50.980392156862742</v>
      </c>
      <c r="K11" s="216">
        <v>704</v>
      </c>
      <c r="L11" s="217">
        <v>100</v>
      </c>
      <c r="M11" s="217">
        <v>49.324324324324323</v>
      </c>
      <c r="N11" s="217">
        <v>522</v>
      </c>
      <c r="O11" s="229">
        <v>80</v>
      </c>
      <c r="P11" s="274">
        <v>668</v>
      </c>
      <c r="Q11" s="274">
        <v>530.70175438596493</v>
      </c>
      <c r="R11" s="274">
        <v>854</v>
      </c>
      <c r="S11" s="274">
        <v>864.87706849461813</v>
      </c>
      <c r="T11" s="274">
        <v>421.47412234212391</v>
      </c>
      <c r="U11" s="274">
        <v>301.3460243759078</v>
      </c>
      <c r="V11" s="274">
        <v>879</v>
      </c>
      <c r="W11" s="232">
        <v>7701.7036860798025</v>
      </c>
    </row>
    <row r="12" spans="1:23" x14ac:dyDescent="0.2">
      <c r="A12" s="168">
        <v>4</v>
      </c>
      <c r="B12" s="154" t="s">
        <v>109</v>
      </c>
      <c r="C12" s="216">
        <v>533.33333333333337</v>
      </c>
      <c r="D12" s="216">
        <v>100</v>
      </c>
      <c r="E12" s="216">
        <v>812</v>
      </c>
      <c r="F12" s="216">
        <v>0</v>
      </c>
      <c r="G12" s="216">
        <v>100</v>
      </c>
      <c r="H12" s="216">
        <v>516</v>
      </c>
      <c r="I12" s="216">
        <v>50</v>
      </c>
      <c r="J12" s="216">
        <v>28.057553956834528</v>
      </c>
      <c r="K12" s="216">
        <v>704</v>
      </c>
      <c r="L12" s="217">
        <v>20</v>
      </c>
      <c r="M12" s="217">
        <v>18.814432989690722</v>
      </c>
      <c r="N12" s="217">
        <v>543</v>
      </c>
      <c r="O12" s="229">
        <v>80</v>
      </c>
      <c r="P12" s="274">
        <v>0</v>
      </c>
      <c r="Q12" s="274">
        <v>627</v>
      </c>
      <c r="R12" s="274">
        <v>298</v>
      </c>
      <c r="S12" s="274">
        <v>820</v>
      </c>
      <c r="T12" s="274">
        <v>733</v>
      </c>
      <c r="U12" s="274">
        <v>748.4693033261625</v>
      </c>
      <c r="V12" s="274">
        <v>702</v>
      </c>
      <c r="W12" s="232">
        <v>7433.6746236060217</v>
      </c>
    </row>
    <row r="13" spans="1:23" x14ac:dyDescent="0.2">
      <c r="A13" s="168">
        <v>3</v>
      </c>
      <c r="B13" s="154" t="s">
        <v>56</v>
      </c>
      <c r="C13" s="216">
        <v>466.66666666666669</v>
      </c>
      <c r="D13" s="216">
        <v>100</v>
      </c>
      <c r="E13" s="216">
        <v>536</v>
      </c>
      <c r="F13" s="216">
        <v>25</v>
      </c>
      <c r="G13" s="216">
        <v>100</v>
      </c>
      <c r="H13" s="216">
        <v>545</v>
      </c>
      <c r="I13" s="216">
        <v>75</v>
      </c>
      <c r="J13" s="216">
        <v>43.575418994413411</v>
      </c>
      <c r="K13" s="216">
        <v>613</v>
      </c>
      <c r="L13" s="217">
        <v>100</v>
      </c>
      <c r="M13" s="217">
        <v>37.055837563451774</v>
      </c>
      <c r="N13" s="217">
        <v>536</v>
      </c>
      <c r="O13" s="229">
        <v>0</v>
      </c>
      <c r="P13" s="274">
        <v>496</v>
      </c>
      <c r="Q13" s="274">
        <v>592.10526315789468</v>
      </c>
      <c r="R13" s="274">
        <v>468</v>
      </c>
      <c r="S13" s="274">
        <v>662.38729128891009</v>
      </c>
      <c r="T13" s="274">
        <v>462.28935470612419</v>
      </c>
      <c r="U13" s="274">
        <v>496.37840210711141</v>
      </c>
      <c r="V13" s="274">
        <v>480</v>
      </c>
      <c r="W13" s="232">
        <v>6834.4582344845721</v>
      </c>
    </row>
    <row r="14" spans="1:23" x14ac:dyDescent="0.2">
      <c r="A14" s="168">
        <v>16</v>
      </c>
      <c r="B14" s="154" t="s">
        <v>101</v>
      </c>
      <c r="C14" s="216">
        <v>480</v>
      </c>
      <c r="D14" s="216">
        <v>100</v>
      </c>
      <c r="E14" s="216">
        <v>678</v>
      </c>
      <c r="F14" s="216">
        <v>0</v>
      </c>
      <c r="G14" s="216">
        <v>100</v>
      </c>
      <c r="H14" s="216">
        <v>717</v>
      </c>
      <c r="I14" s="216">
        <v>100</v>
      </c>
      <c r="J14" s="216">
        <v>33.333333333333336</v>
      </c>
      <c r="K14" s="216">
        <v>682</v>
      </c>
      <c r="L14" s="217">
        <v>100</v>
      </c>
      <c r="M14" s="217">
        <v>42.19653179190751</v>
      </c>
      <c r="N14" s="217">
        <v>613</v>
      </c>
      <c r="O14" s="229">
        <v>0</v>
      </c>
      <c r="P14" s="274">
        <v>596</v>
      </c>
      <c r="Q14" s="274">
        <v>807.01754385964909</v>
      </c>
      <c r="R14" s="274">
        <v>279</v>
      </c>
      <c r="S14" s="274">
        <v>817.35798360242848</v>
      </c>
      <c r="T14" s="274">
        <v>600.10670935040685</v>
      </c>
      <c r="U14" s="274">
        <v>0</v>
      </c>
      <c r="V14" s="274">
        <v>0</v>
      </c>
      <c r="W14" s="232">
        <v>6745.0121019377257</v>
      </c>
    </row>
    <row r="15" spans="1:23" x14ac:dyDescent="0.2">
      <c r="A15" s="168">
        <v>11</v>
      </c>
      <c r="B15" s="154" t="s">
        <v>111</v>
      </c>
      <c r="C15" s="216">
        <v>400</v>
      </c>
      <c r="D15" s="216">
        <v>100</v>
      </c>
      <c r="E15" s="216">
        <v>550</v>
      </c>
      <c r="F15" s="216">
        <v>0</v>
      </c>
      <c r="G15" s="216">
        <v>75</v>
      </c>
      <c r="H15" s="216">
        <v>558</v>
      </c>
      <c r="I15" s="216">
        <v>100</v>
      </c>
      <c r="J15" s="216">
        <v>25.000000000000004</v>
      </c>
      <c r="K15" s="216">
        <v>587</v>
      </c>
      <c r="L15" s="217">
        <v>0</v>
      </c>
      <c r="M15" s="217">
        <v>18.114143920595534</v>
      </c>
      <c r="N15" s="217">
        <v>493</v>
      </c>
      <c r="O15" s="229">
        <v>80</v>
      </c>
      <c r="P15" s="274">
        <v>627</v>
      </c>
      <c r="Q15" s="274">
        <v>482.45614035087721</v>
      </c>
      <c r="R15" s="274">
        <v>82</v>
      </c>
      <c r="S15" s="274">
        <v>610.83535331212454</v>
      </c>
      <c r="T15" s="274">
        <v>492.87905346187557</v>
      </c>
      <c r="U15" s="274">
        <v>258.72678467804946</v>
      </c>
      <c r="V15" s="274">
        <v>465</v>
      </c>
      <c r="W15" s="232">
        <v>6005.0114757235224</v>
      </c>
    </row>
    <row r="16" spans="1:23" x14ac:dyDescent="0.2">
      <c r="A16" s="168">
        <v>9</v>
      </c>
      <c r="B16" s="154" t="s">
        <v>102</v>
      </c>
      <c r="C16" s="216">
        <v>466.66666666666669</v>
      </c>
      <c r="D16" s="216">
        <v>100</v>
      </c>
      <c r="E16" s="216">
        <v>638</v>
      </c>
      <c r="F16" s="216">
        <v>0</v>
      </c>
      <c r="G16" s="216">
        <v>100</v>
      </c>
      <c r="H16" s="216">
        <v>658</v>
      </c>
      <c r="I16" s="216">
        <v>0</v>
      </c>
      <c r="J16" s="216">
        <v>38.048780487804876</v>
      </c>
      <c r="K16" s="216">
        <v>677</v>
      </c>
      <c r="L16" s="217">
        <v>0</v>
      </c>
      <c r="M16" s="217">
        <v>14.455445544554454</v>
      </c>
      <c r="N16" s="217">
        <v>616</v>
      </c>
      <c r="O16" s="229">
        <v>0</v>
      </c>
      <c r="P16" s="274">
        <v>218</v>
      </c>
      <c r="Q16" s="274">
        <v>610.87719298245611</v>
      </c>
      <c r="R16" s="274">
        <v>0</v>
      </c>
      <c r="S16" s="274">
        <v>0</v>
      </c>
      <c r="T16" s="274">
        <v>0</v>
      </c>
      <c r="U16" s="274">
        <v>0</v>
      </c>
      <c r="V16" s="274">
        <v>0</v>
      </c>
      <c r="W16" s="232">
        <v>4137.0480856814829</v>
      </c>
    </row>
    <row r="17" spans="1:23" x14ac:dyDescent="0.2">
      <c r="A17" s="168">
        <v>5</v>
      </c>
      <c r="B17" s="154" t="s">
        <v>97</v>
      </c>
      <c r="C17" s="216">
        <v>213.33333333333334</v>
      </c>
      <c r="D17" s="216">
        <v>100</v>
      </c>
      <c r="E17" s="216">
        <v>595</v>
      </c>
      <c r="F17" s="216">
        <v>100</v>
      </c>
      <c r="G17" s="216">
        <v>100</v>
      </c>
      <c r="H17" s="216">
        <v>715</v>
      </c>
      <c r="I17" s="216">
        <v>75</v>
      </c>
      <c r="J17" s="216">
        <v>21.369863013698627</v>
      </c>
      <c r="K17" s="216">
        <v>767</v>
      </c>
      <c r="L17" s="217">
        <v>100</v>
      </c>
      <c r="M17" s="217">
        <v>37.823834196891184</v>
      </c>
      <c r="N17" s="217">
        <v>680</v>
      </c>
      <c r="O17" s="229">
        <v>0</v>
      </c>
      <c r="P17" s="289">
        <v>0</v>
      </c>
      <c r="Q17" s="289">
        <v>0</v>
      </c>
      <c r="R17" s="289">
        <v>0</v>
      </c>
      <c r="S17" s="289">
        <v>0</v>
      </c>
      <c r="T17" s="274">
        <v>0</v>
      </c>
      <c r="U17" s="274">
        <v>0</v>
      </c>
      <c r="V17" s="274">
        <v>0</v>
      </c>
      <c r="W17" s="232">
        <v>3504.5270305439235</v>
      </c>
    </row>
    <row r="18" spans="1:23" x14ac:dyDescent="0.2">
      <c r="A18" s="168">
        <v>14</v>
      </c>
      <c r="B18" s="154" t="s">
        <v>100</v>
      </c>
      <c r="C18" s="216">
        <v>800</v>
      </c>
      <c r="D18" s="216">
        <v>100</v>
      </c>
      <c r="E18" s="216">
        <v>632</v>
      </c>
      <c r="F18" s="216">
        <v>0</v>
      </c>
      <c r="G18" s="216">
        <v>75</v>
      </c>
      <c r="H18" s="216">
        <v>628</v>
      </c>
      <c r="I18" s="216">
        <v>25</v>
      </c>
      <c r="J18" s="216">
        <v>0</v>
      </c>
      <c r="K18" s="216">
        <v>0</v>
      </c>
      <c r="L18" s="217">
        <v>0</v>
      </c>
      <c r="M18" s="217">
        <v>0</v>
      </c>
      <c r="N18" s="217">
        <v>0</v>
      </c>
      <c r="O18" s="229">
        <v>0</v>
      </c>
      <c r="P18" s="274">
        <v>0</v>
      </c>
      <c r="Q18" s="274">
        <v>0</v>
      </c>
      <c r="R18" s="274">
        <v>0</v>
      </c>
      <c r="S18" s="274">
        <v>0</v>
      </c>
      <c r="T18" s="274">
        <v>0</v>
      </c>
      <c r="U18" s="274">
        <v>0</v>
      </c>
      <c r="V18" s="274">
        <v>0</v>
      </c>
      <c r="W18" s="232">
        <v>2260</v>
      </c>
    </row>
    <row r="19" spans="1:23" x14ac:dyDescent="0.2">
      <c r="A19" s="168">
        <v>15</v>
      </c>
      <c r="B19" s="154" t="s">
        <v>103</v>
      </c>
      <c r="C19" s="216">
        <v>866.66666666666663</v>
      </c>
      <c r="D19" s="216">
        <v>100</v>
      </c>
      <c r="E19" s="216">
        <v>0</v>
      </c>
      <c r="F19" s="216">
        <v>0</v>
      </c>
      <c r="G19" s="216">
        <v>50</v>
      </c>
      <c r="H19" s="216">
        <v>0</v>
      </c>
      <c r="I19" s="216">
        <v>0</v>
      </c>
      <c r="J19" s="216">
        <v>22.478386167146972</v>
      </c>
      <c r="K19" s="216">
        <v>434</v>
      </c>
      <c r="L19" s="217">
        <v>0</v>
      </c>
      <c r="M19" s="217">
        <v>22.530864197530864</v>
      </c>
      <c r="N19" s="217">
        <v>0</v>
      </c>
      <c r="O19" s="229">
        <v>0</v>
      </c>
      <c r="P19" s="274">
        <v>0</v>
      </c>
      <c r="Q19" s="274">
        <v>0</v>
      </c>
      <c r="R19" s="274">
        <v>0</v>
      </c>
      <c r="S19" s="274">
        <v>0</v>
      </c>
      <c r="T19" s="274">
        <v>0</v>
      </c>
      <c r="U19" s="274">
        <v>0</v>
      </c>
      <c r="V19" s="274">
        <v>0</v>
      </c>
      <c r="W19" s="232">
        <v>1495.6759170313446</v>
      </c>
    </row>
    <row r="20" spans="1:23" x14ac:dyDescent="0.2">
      <c r="A20" s="168">
        <v>13</v>
      </c>
      <c r="B20" s="154" t="s">
        <v>112</v>
      </c>
      <c r="C20" s="216">
        <v>533.33333333333326</v>
      </c>
      <c r="D20" s="216">
        <v>100</v>
      </c>
      <c r="E20" s="216">
        <v>0</v>
      </c>
      <c r="F20" s="216">
        <v>0</v>
      </c>
      <c r="G20" s="216">
        <v>0</v>
      </c>
      <c r="H20" s="216">
        <v>0</v>
      </c>
      <c r="I20" s="216">
        <v>0</v>
      </c>
      <c r="J20" s="216">
        <v>0</v>
      </c>
      <c r="K20" s="216">
        <v>0</v>
      </c>
      <c r="L20" s="217">
        <v>0</v>
      </c>
      <c r="M20" s="217">
        <v>0</v>
      </c>
      <c r="N20" s="217">
        <v>0</v>
      </c>
      <c r="O20" s="229">
        <v>0</v>
      </c>
      <c r="P20" s="274">
        <v>0</v>
      </c>
      <c r="Q20" s="274">
        <v>0</v>
      </c>
      <c r="R20" s="274">
        <v>0</v>
      </c>
      <c r="S20" s="274">
        <v>0</v>
      </c>
      <c r="T20" s="274">
        <v>0</v>
      </c>
      <c r="U20" s="274">
        <v>0</v>
      </c>
      <c r="V20" s="274">
        <v>0</v>
      </c>
      <c r="W20" s="232">
        <v>633.33333333333326</v>
      </c>
    </row>
    <row r="21" spans="1:23" ht="13.5" thickBot="1" x14ac:dyDescent="0.25">
      <c r="A21" s="178">
        <v>8</v>
      </c>
      <c r="B21" s="155" t="s">
        <v>106</v>
      </c>
      <c r="C21" s="218">
        <v>160</v>
      </c>
      <c r="D21" s="218">
        <v>0</v>
      </c>
      <c r="E21" s="218">
        <v>0</v>
      </c>
      <c r="F21" s="218">
        <v>0</v>
      </c>
      <c r="G21" s="218">
        <v>0</v>
      </c>
      <c r="H21" s="218">
        <v>0</v>
      </c>
      <c r="I21" s="218">
        <v>0</v>
      </c>
      <c r="J21" s="218">
        <v>0</v>
      </c>
      <c r="K21" s="218">
        <v>0</v>
      </c>
      <c r="L21" s="219">
        <v>0</v>
      </c>
      <c r="M21" s="219">
        <v>0</v>
      </c>
      <c r="N21" s="219">
        <v>0</v>
      </c>
      <c r="O21" s="230">
        <v>0</v>
      </c>
      <c r="P21" s="275">
        <v>0</v>
      </c>
      <c r="Q21" s="275">
        <v>0</v>
      </c>
      <c r="R21" s="275">
        <v>0</v>
      </c>
      <c r="S21" s="275">
        <v>0</v>
      </c>
      <c r="T21" s="275">
        <v>0</v>
      </c>
      <c r="U21" s="275">
        <v>0</v>
      </c>
      <c r="V21" s="275">
        <v>0</v>
      </c>
      <c r="W21" s="233">
        <v>160</v>
      </c>
    </row>
  </sheetData>
  <sortState ref="A3:W21">
    <sortCondition descending="1" ref="W3:W21"/>
  </sortState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fitToWidth="0" fitToHeight="0" orientation="landscape" r:id="rId1"/>
  <headerFooter>
    <oddHeader>&amp;C&amp;A&amp;R&amp;D &amp;T</oddHeader>
  </headerFooter>
  <colBreaks count="1" manualBreakCount="1">
    <brk id="12" max="20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K22"/>
  <sheetViews>
    <sheetView zoomScaleNormal="100" workbookViewId="0">
      <selection activeCell="H19" sqref="H19"/>
    </sheetView>
  </sheetViews>
  <sheetFormatPr defaultColWidth="8.85546875" defaultRowHeight="12.75" x14ac:dyDescent="0.2"/>
  <cols>
    <col min="1" max="1" width="8.85546875" style="111"/>
    <col min="2" max="2" width="18" style="111" bestFit="1" customWidth="1"/>
    <col min="3" max="3" width="5.28515625" style="111" bestFit="1" customWidth="1"/>
    <col min="4" max="4" width="6" style="111" bestFit="1" customWidth="1"/>
    <col min="5" max="5" width="6.85546875" style="111" bestFit="1" customWidth="1"/>
    <col min="6" max="6" width="6.85546875" style="111" customWidth="1"/>
    <col min="7" max="7" width="5.42578125" style="111" hidden="1" customWidth="1"/>
    <col min="8" max="8" width="9.140625" style="111" bestFit="1" customWidth="1"/>
    <col min="9" max="9" width="7.85546875" style="111" customWidth="1"/>
    <col min="10" max="10" width="17.7109375" style="111" bestFit="1" customWidth="1"/>
    <col min="11" max="11" width="5" style="111" bestFit="1" customWidth="1"/>
    <col min="12" max="16384" width="8.85546875" style="111"/>
  </cols>
  <sheetData>
    <row r="1" spans="1:11" x14ac:dyDescent="0.2">
      <c r="B1" s="234" t="s">
        <v>165</v>
      </c>
      <c r="C1" s="317">
        <v>1.18</v>
      </c>
      <c r="E1" s="234"/>
      <c r="F1" s="234"/>
    </row>
    <row r="2" spans="1:11" ht="13.5" thickBot="1" x14ac:dyDescent="0.25">
      <c r="C2" s="157"/>
      <c r="E2" s="157"/>
      <c r="F2" s="157"/>
    </row>
    <row r="3" spans="1:11" ht="39" thickBot="1" x14ac:dyDescent="0.25">
      <c r="A3" s="176" t="s">
        <v>126</v>
      </c>
      <c r="B3" s="114" t="s">
        <v>21</v>
      </c>
      <c r="C3" s="176" t="s">
        <v>50</v>
      </c>
      <c r="D3" s="176" t="s">
        <v>45</v>
      </c>
      <c r="E3" s="320" t="s">
        <v>166</v>
      </c>
      <c r="F3" s="287" t="s">
        <v>167</v>
      </c>
      <c r="G3" s="244" t="s">
        <v>13</v>
      </c>
      <c r="H3" s="176" t="s">
        <v>6</v>
      </c>
    </row>
    <row r="4" spans="1:11" x14ac:dyDescent="0.2">
      <c r="A4" s="168">
        <v>14</v>
      </c>
      <c r="B4" s="168" t="s">
        <v>100</v>
      </c>
      <c r="C4" s="318"/>
      <c r="D4" s="318"/>
      <c r="E4" s="318"/>
      <c r="F4" s="318"/>
      <c r="G4" s="322"/>
      <c r="H4" s="326"/>
      <c r="I4" s="111" t="s">
        <v>43</v>
      </c>
      <c r="J4" s="111" t="s">
        <v>11</v>
      </c>
      <c r="K4" s="166">
        <v>1000</v>
      </c>
    </row>
    <row r="5" spans="1:11" x14ac:dyDescent="0.2">
      <c r="A5" s="168">
        <v>17</v>
      </c>
      <c r="B5" s="154" t="s">
        <v>108</v>
      </c>
      <c r="C5" s="239">
        <v>9</v>
      </c>
      <c r="D5" s="239">
        <v>81.28</v>
      </c>
      <c r="E5" s="239"/>
      <c r="F5" s="319">
        <f t="shared" ref="F5:F10" si="0">D5+E5</f>
        <v>81.28</v>
      </c>
      <c r="G5" s="323">
        <f t="shared" ref="G5:G10" si="1">C5^3/D5</f>
        <v>8.9689960629921259</v>
      </c>
      <c r="H5" s="327">
        <f t="shared" ref="H5:H10" si="2">$K$4*G5/MAX($G$4:$G$22)</f>
        <v>553.5187007874016</v>
      </c>
    </row>
    <row r="6" spans="1:11" x14ac:dyDescent="0.2">
      <c r="A6" s="168">
        <v>16</v>
      </c>
      <c r="B6" s="154" t="s">
        <v>101</v>
      </c>
      <c r="C6" s="239">
        <v>9</v>
      </c>
      <c r="D6" s="316">
        <v>74.97</v>
      </c>
      <c r="E6" s="316"/>
      <c r="F6" s="319">
        <f t="shared" si="0"/>
        <v>74.97</v>
      </c>
      <c r="G6" s="324">
        <f t="shared" si="1"/>
        <v>9.7238895558223284</v>
      </c>
      <c r="H6" s="248">
        <f t="shared" si="2"/>
        <v>600.10670935040685</v>
      </c>
    </row>
    <row r="7" spans="1:11" x14ac:dyDescent="0.2">
      <c r="A7" s="168">
        <v>18</v>
      </c>
      <c r="B7" s="154" t="s">
        <v>107</v>
      </c>
      <c r="C7" s="239">
        <v>9</v>
      </c>
      <c r="D7" s="239">
        <v>47.41</v>
      </c>
      <c r="E7" s="239"/>
      <c r="F7" s="319">
        <f t="shared" si="0"/>
        <v>47.41</v>
      </c>
      <c r="G7" s="323">
        <f t="shared" si="1"/>
        <v>15.376502847500529</v>
      </c>
      <c r="H7" s="327">
        <f t="shared" si="2"/>
        <v>948.95591647331798</v>
      </c>
    </row>
    <row r="8" spans="1:11" x14ac:dyDescent="0.2">
      <c r="A8" s="168">
        <v>10</v>
      </c>
      <c r="B8" s="154" t="s">
        <v>110</v>
      </c>
      <c r="C8" s="239">
        <v>9</v>
      </c>
      <c r="D8" s="239">
        <v>68.87</v>
      </c>
      <c r="E8" s="239"/>
      <c r="F8" s="319">
        <f t="shared" si="0"/>
        <v>68.87</v>
      </c>
      <c r="G8" s="323">
        <f t="shared" si="1"/>
        <v>10.585160447219398</v>
      </c>
      <c r="H8" s="327">
        <f t="shared" si="2"/>
        <v>653.25976477421216</v>
      </c>
    </row>
    <row r="9" spans="1:11" x14ac:dyDescent="0.2">
      <c r="A9" s="168">
        <v>11</v>
      </c>
      <c r="B9" s="154" t="s">
        <v>111</v>
      </c>
      <c r="C9" s="239">
        <v>9</v>
      </c>
      <c r="D9" s="239">
        <v>91.28</v>
      </c>
      <c r="E9" s="239"/>
      <c r="F9" s="319">
        <f t="shared" si="0"/>
        <v>91.28</v>
      </c>
      <c r="G9" s="323">
        <f t="shared" si="1"/>
        <v>7.986415425065732</v>
      </c>
      <c r="H9" s="327">
        <f t="shared" si="2"/>
        <v>492.87905346187557</v>
      </c>
    </row>
    <row r="10" spans="1:11" x14ac:dyDescent="0.2">
      <c r="A10" s="168">
        <v>3</v>
      </c>
      <c r="B10" s="154" t="s">
        <v>56</v>
      </c>
      <c r="C10" s="239">
        <v>9</v>
      </c>
      <c r="D10" s="239">
        <v>97.32</v>
      </c>
      <c r="E10" s="239"/>
      <c r="F10" s="319">
        <f t="shared" si="0"/>
        <v>97.32</v>
      </c>
      <c r="G10" s="323">
        <f t="shared" si="1"/>
        <v>7.4907521578298404</v>
      </c>
      <c r="H10" s="327">
        <f t="shared" si="2"/>
        <v>462.28935470612419</v>
      </c>
    </row>
    <row r="11" spans="1:11" x14ac:dyDescent="0.2">
      <c r="A11" s="168">
        <v>13</v>
      </c>
      <c r="B11" s="154" t="s">
        <v>112</v>
      </c>
      <c r="C11" s="239"/>
      <c r="D11" s="239"/>
      <c r="E11" s="239"/>
      <c r="F11" s="318"/>
      <c r="G11" s="323"/>
      <c r="H11" s="327"/>
      <c r="I11" s="111" t="s">
        <v>43</v>
      </c>
    </row>
    <row r="12" spans="1:11" x14ac:dyDescent="0.2">
      <c r="A12" s="168">
        <v>15</v>
      </c>
      <c r="B12" s="154" t="s">
        <v>103</v>
      </c>
      <c r="C12" s="239"/>
      <c r="D12" s="239"/>
      <c r="E12" s="239"/>
      <c r="F12" s="318"/>
      <c r="G12" s="323"/>
      <c r="H12" s="327"/>
      <c r="I12" s="111" t="s">
        <v>43</v>
      </c>
    </row>
    <row r="13" spans="1:11" x14ac:dyDescent="0.2">
      <c r="A13" s="168">
        <v>1</v>
      </c>
      <c r="B13" s="154" t="s">
        <v>59</v>
      </c>
      <c r="C13" s="239">
        <v>9</v>
      </c>
      <c r="D13" s="239">
        <v>45.69</v>
      </c>
      <c r="E13" s="315"/>
      <c r="F13" s="319">
        <f>D13+E13</f>
        <v>45.69</v>
      </c>
      <c r="G13" s="323">
        <f>C13^3/D13</f>
        <v>15.955351280367696</v>
      </c>
      <c r="H13" s="327">
        <f>$K$4*G13/MAX($G$4:$G$22)</f>
        <v>984.67936091048364</v>
      </c>
    </row>
    <row r="14" spans="1:11" x14ac:dyDescent="0.2">
      <c r="A14" s="168">
        <v>9</v>
      </c>
      <c r="B14" s="154" t="s">
        <v>102</v>
      </c>
      <c r="C14" s="239"/>
      <c r="D14" s="239"/>
      <c r="E14" s="239"/>
      <c r="F14" s="318"/>
      <c r="G14" s="323"/>
      <c r="H14" s="327"/>
      <c r="I14" s="111" t="s">
        <v>43</v>
      </c>
    </row>
    <row r="15" spans="1:11" x14ac:dyDescent="0.2">
      <c r="A15" s="168">
        <v>6</v>
      </c>
      <c r="B15" s="154" t="s">
        <v>58</v>
      </c>
      <c r="C15" s="239">
        <v>8</v>
      </c>
      <c r="D15" s="239">
        <f>74.97</f>
        <v>74.97</v>
      </c>
      <c r="E15" s="239">
        <v>15</v>
      </c>
      <c r="F15" s="319">
        <f>D15+E15</f>
        <v>89.97</v>
      </c>
      <c r="G15" s="323">
        <f>C15^3/D15</f>
        <v>6.8293984260370815</v>
      </c>
      <c r="H15" s="327">
        <f>$K$4*G15/MAX($G$4:$G$22)</f>
        <v>421.47412234212391</v>
      </c>
    </row>
    <row r="16" spans="1:11" x14ac:dyDescent="0.2">
      <c r="A16" s="168">
        <v>2</v>
      </c>
      <c r="B16" s="154" t="s">
        <v>105</v>
      </c>
      <c r="C16" s="239">
        <v>9</v>
      </c>
      <c r="D16" s="239">
        <v>55.36</v>
      </c>
      <c r="E16" s="239"/>
      <c r="F16" s="319">
        <f>D16+E16</f>
        <v>55.36</v>
      </c>
      <c r="G16" s="323">
        <f>C16^3/D16</f>
        <v>13.168352601156069</v>
      </c>
      <c r="H16" s="327">
        <f>$K$4*G16/MAX($G$4:$G$22)</f>
        <v>812.68063583815035</v>
      </c>
    </row>
    <row r="17" spans="1:9" x14ac:dyDescent="0.2">
      <c r="A17" s="168">
        <v>19</v>
      </c>
      <c r="B17" s="154" t="s">
        <v>99</v>
      </c>
      <c r="C17" s="239">
        <v>9</v>
      </c>
      <c r="D17" s="239">
        <v>44.99</v>
      </c>
      <c r="E17" s="315"/>
      <c r="F17" s="315">
        <f>D17+E17</f>
        <v>44.99</v>
      </c>
      <c r="G17" s="323">
        <f>C17^3/D17</f>
        <v>16.203600800177817</v>
      </c>
      <c r="H17" s="327">
        <f>$K$4*G17/MAX($G$4:$G$22)</f>
        <v>1000</v>
      </c>
    </row>
    <row r="18" spans="1:9" x14ac:dyDescent="0.2">
      <c r="A18" s="168">
        <v>7</v>
      </c>
      <c r="B18" s="154" t="s">
        <v>113</v>
      </c>
      <c r="C18" s="239">
        <v>9</v>
      </c>
      <c r="D18" s="239">
        <v>56.31</v>
      </c>
      <c r="E18" s="239"/>
      <c r="F18" s="315">
        <f>D18+E18</f>
        <v>56.31</v>
      </c>
      <c r="G18" s="323">
        <f>C18^3/D18</f>
        <v>12.946190729888119</v>
      </c>
      <c r="H18" s="327">
        <f>$K$4*G18/MAX($G$4:$G$22)</f>
        <v>798.96998756881555</v>
      </c>
    </row>
    <row r="19" spans="1:9" x14ac:dyDescent="0.2">
      <c r="A19" s="168">
        <v>4</v>
      </c>
      <c r="B19" s="154" t="s">
        <v>109</v>
      </c>
      <c r="C19" s="239">
        <v>9</v>
      </c>
      <c r="D19" s="239">
        <v>61.38</v>
      </c>
      <c r="E19" s="239"/>
      <c r="F19" s="315">
        <f>D19+E19</f>
        <v>61.38</v>
      </c>
      <c r="G19" s="323">
        <f>C19^3/D19</f>
        <v>11.87683284457478</v>
      </c>
      <c r="H19" s="327">
        <f>$K$4*G19/MAX($G$4:$G$22)</f>
        <v>732.97491039426518</v>
      </c>
    </row>
    <row r="20" spans="1:9" x14ac:dyDescent="0.2">
      <c r="A20" s="168">
        <v>5</v>
      </c>
      <c r="B20" s="154" t="s">
        <v>97</v>
      </c>
      <c r="C20" s="239"/>
      <c r="D20" s="239"/>
      <c r="E20" s="239"/>
      <c r="F20" s="239"/>
      <c r="G20" s="323"/>
      <c r="H20" s="327"/>
      <c r="I20" s="111" t="s">
        <v>43</v>
      </c>
    </row>
    <row r="21" spans="1:9" x14ac:dyDescent="0.2">
      <c r="A21" s="168">
        <v>12</v>
      </c>
      <c r="B21" s="154" t="s">
        <v>104</v>
      </c>
      <c r="C21" s="239">
        <v>9</v>
      </c>
      <c r="D21" s="239">
        <v>53.33</v>
      </c>
      <c r="E21" s="239"/>
      <c r="F21" s="315">
        <f>D21+E21</f>
        <v>53.33</v>
      </c>
      <c r="G21" s="323">
        <f>C21^3/D21</f>
        <v>13.669604350271893</v>
      </c>
      <c r="H21" s="327">
        <f>$K$4*G21/MAX($G$4:$G$22)</f>
        <v>843.61522595162205</v>
      </c>
    </row>
    <row r="22" spans="1:9" ht="13.5" thickBot="1" x14ac:dyDescent="0.25">
      <c r="A22" s="178">
        <v>8</v>
      </c>
      <c r="B22" s="155" t="s">
        <v>106</v>
      </c>
      <c r="C22" s="321"/>
      <c r="D22" s="321"/>
      <c r="E22" s="321"/>
      <c r="F22" s="321"/>
      <c r="G22" s="325"/>
      <c r="H22" s="328"/>
      <c r="I22" s="111" t="s">
        <v>43</v>
      </c>
    </row>
  </sheetData>
  <sortState ref="A4:I22">
    <sortCondition ref="B4:B22"/>
  </sortState>
  <phoneticPr fontId="28" type="noConversion"/>
  <conditionalFormatting sqref="C4:C22 E4:F22">
    <cfRule type="cellIs" dxfId="12" priority="2" operator="lessThan">
      <formula>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&amp;C&amp;A&amp;R&amp;D &amp;T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I22"/>
  <sheetViews>
    <sheetView zoomScaleNormal="100" workbookViewId="0">
      <selection activeCell="G10" sqref="G10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8.85546875" style="111" bestFit="1" customWidth="1"/>
    <col min="4" max="4" width="7" style="111" customWidth="1"/>
    <col min="5" max="5" width="5.42578125" style="111" bestFit="1" customWidth="1"/>
    <col min="6" max="6" width="6.85546875" style="111" bestFit="1" customWidth="1"/>
    <col min="7" max="7" width="10.5703125" style="111" bestFit="1" customWidth="1"/>
    <col min="8" max="8" width="17.7109375" style="111" bestFit="1" customWidth="1"/>
    <col min="9" max="9" width="5" style="111" bestFit="1" customWidth="1"/>
    <col min="10" max="16384" width="8.85546875" style="111"/>
  </cols>
  <sheetData>
    <row r="1" spans="1:9" x14ac:dyDescent="0.2">
      <c r="C1" s="332" t="s">
        <v>169</v>
      </c>
      <c r="D1" s="317">
        <v>1.19</v>
      </c>
    </row>
    <row r="2" spans="1:9" ht="13.5" thickBot="1" x14ac:dyDescent="0.25">
      <c r="C2" s="157"/>
    </row>
    <row r="3" spans="1:9" ht="26.25" thickBot="1" x14ac:dyDescent="0.25">
      <c r="A3" s="176" t="s">
        <v>126</v>
      </c>
      <c r="B3" s="114" t="s">
        <v>21</v>
      </c>
      <c r="C3" s="176" t="s">
        <v>50</v>
      </c>
      <c r="D3" s="176" t="s">
        <v>45</v>
      </c>
      <c r="E3" s="169" t="s">
        <v>13</v>
      </c>
      <c r="F3" s="176" t="s">
        <v>6</v>
      </c>
    </row>
    <row r="4" spans="1:9" x14ac:dyDescent="0.2">
      <c r="A4" s="168">
        <v>14</v>
      </c>
      <c r="B4" s="168" t="s">
        <v>100</v>
      </c>
      <c r="C4" s="318">
        <v>9</v>
      </c>
      <c r="D4" s="318"/>
      <c r="E4" s="322"/>
      <c r="F4" s="326">
        <f t="shared" ref="F4:F22" si="0">$I$4*E4/MAX($E$4:$E$22)</f>
        <v>0</v>
      </c>
      <c r="G4" s="111" t="s">
        <v>43</v>
      </c>
      <c r="H4" s="111" t="s">
        <v>11</v>
      </c>
      <c r="I4" s="166">
        <v>1000</v>
      </c>
    </row>
    <row r="5" spans="1:9" x14ac:dyDescent="0.2">
      <c r="A5" s="168">
        <v>17</v>
      </c>
      <c r="B5" s="154" t="s">
        <v>108</v>
      </c>
      <c r="C5" s="315">
        <v>9</v>
      </c>
      <c r="D5" s="239">
        <v>83.82</v>
      </c>
      <c r="E5" s="323">
        <f>C5^3/D5</f>
        <v>8.6972083035075176</v>
      </c>
      <c r="F5" s="327">
        <f t="shared" si="0"/>
        <v>539.60868527797663</v>
      </c>
    </row>
    <row r="6" spans="1:9" x14ac:dyDescent="0.2">
      <c r="A6" s="168">
        <v>16</v>
      </c>
      <c r="B6" s="154" t="s">
        <v>101</v>
      </c>
      <c r="C6" s="315">
        <v>9</v>
      </c>
      <c r="D6" s="239"/>
      <c r="E6" s="323"/>
      <c r="F6" s="327">
        <f t="shared" si="0"/>
        <v>0</v>
      </c>
      <c r="G6" s="111" t="s">
        <v>43</v>
      </c>
    </row>
    <row r="7" spans="1:9" x14ac:dyDescent="0.2">
      <c r="A7" s="168">
        <v>18</v>
      </c>
      <c r="B7" s="154" t="s">
        <v>107</v>
      </c>
      <c r="C7" s="239">
        <v>9</v>
      </c>
      <c r="D7" s="239">
        <v>45.23</v>
      </c>
      <c r="E7" s="323">
        <f>C7^3/D7</f>
        <v>16.117621047977007</v>
      </c>
      <c r="F7" s="327">
        <f t="shared" si="0"/>
        <v>1000</v>
      </c>
    </row>
    <row r="8" spans="1:9" x14ac:dyDescent="0.2">
      <c r="A8" s="168">
        <v>10</v>
      </c>
      <c r="B8" s="154" t="s">
        <v>110</v>
      </c>
      <c r="C8" s="316">
        <v>9</v>
      </c>
      <c r="D8" s="316">
        <v>66.87</v>
      </c>
      <c r="E8" s="324">
        <f>C8^3/D8</f>
        <v>10.901749663526244</v>
      </c>
      <c r="F8" s="248">
        <f t="shared" si="0"/>
        <v>676.38701959024968</v>
      </c>
    </row>
    <row r="9" spans="1:9" x14ac:dyDescent="0.2">
      <c r="A9" s="168">
        <v>11</v>
      </c>
      <c r="B9" s="154" t="s">
        <v>111</v>
      </c>
      <c r="C9" s="239">
        <v>8</v>
      </c>
      <c r="D9" s="239">
        <v>122.78</v>
      </c>
      <c r="E9" s="323">
        <f>C9^3/D9</f>
        <v>4.1700602704023453</v>
      </c>
      <c r="F9" s="327">
        <f t="shared" si="0"/>
        <v>258.72678467804946</v>
      </c>
    </row>
    <row r="10" spans="1:9" x14ac:dyDescent="0.2">
      <c r="A10" s="168">
        <v>3</v>
      </c>
      <c r="B10" s="154" t="s">
        <v>56</v>
      </c>
      <c r="C10" s="239">
        <v>9</v>
      </c>
      <c r="D10" s="239">
        <v>91.12</v>
      </c>
      <c r="E10" s="323">
        <f>C10^3/D10</f>
        <v>8.0004389815627732</v>
      </c>
      <c r="F10" s="327">
        <f t="shared" si="0"/>
        <v>496.37840210711141</v>
      </c>
    </row>
    <row r="11" spans="1:9" x14ac:dyDescent="0.2">
      <c r="A11" s="168">
        <v>13</v>
      </c>
      <c r="B11" s="154" t="s">
        <v>112</v>
      </c>
      <c r="C11" s="239">
        <v>9</v>
      </c>
      <c r="D11" s="239"/>
      <c r="E11" s="323"/>
      <c r="F11" s="327">
        <f t="shared" si="0"/>
        <v>0</v>
      </c>
      <c r="G11" s="111" t="s">
        <v>43</v>
      </c>
    </row>
    <row r="12" spans="1:9" x14ac:dyDescent="0.2">
      <c r="A12" s="168">
        <v>15</v>
      </c>
      <c r="B12" s="154" t="s">
        <v>103</v>
      </c>
      <c r="C12" s="239">
        <v>9</v>
      </c>
      <c r="D12" s="239"/>
      <c r="E12" s="323"/>
      <c r="F12" s="327">
        <f t="shared" si="0"/>
        <v>0</v>
      </c>
      <c r="G12" s="111" t="s">
        <v>43</v>
      </c>
    </row>
    <row r="13" spans="1:9" x14ac:dyDescent="0.2">
      <c r="A13" s="168">
        <v>1</v>
      </c>
      <c r="B13" s="154" t="s">
        <v>59</v>
      </c>
      <c r="C13" s="239">
        <v>9</v>
      </c>
      <c r="D13" s="239">
        <v>52.8</v>
      </c>
      <c r="E13" s="323">
        <f>C13^3/D13</f>
        <v>13.806818181818183</v>
      </c>
      <c r="F13" s="327">
        <f t="shared" si="0"/>
        <v>856.62878787878799</v>
      </c>
    </row>
    <row r="14" spans="1:9" x14ac:dyDescent="0.2">
      <c r="A14" s="168">
        <v>9</v>
      </c>
      <c r="B14" s="154" t="s">
        <v>102</v>
      </c>
      <c r="C14" s="239">
        <v>9</v>
      </c>
      <c r="D14" s="239"/>
      <c r="E14" s="323"/>
      <c r="F14" s="327">
        <f t="shared" si="0"/>
        <v>0</v>
      </c>
      <c r="G14" s="111" t="s">
        <v>43</v>
      </c>
    </row>
    <row r="15" spans="1:9" x14ac:dyDescent="0.2">
      <c r="A15" s="168">
        <v>6</v>
      </c>
      <c r="B15" s="154" t="s">
        <v>58</v>
      </c>
      <c r="C15" s="239">
        <v>7</v>
      </c>
      <c r="D15" s="239">
        <v>70.62</v>
      </c>
      <c r="E15" s="323">
        <f>C15^3/D15</f>
        <v>4.8569810252053243</v>
      </c>
      <c r="F15" s="327">
        <f t="shared" si="0"/>
        <v>301.3460243759078</v>
      </c>
    </row>
    <row r="16" spans="1:9" x14ac:dyDescent="0.2">
      <c r="A16" s="168">
        <v>2</v>
      </c>
      <c r="B16" s="154" t="s">
        <v>105</v>
      </c>
      <c r="C16" s="239">
        <v>9</v>
      </c>
      <c r="D16" s="239"/>
      <c r="E16" s="323">
        <v>0</v>
      </c>
      <c r="F16" s="327">
        <f t="shared" si="0"/>
        <v>0</v>
      </c>
      <c r="G16" s="111" t="s">
        <v>170</v>
      </c>
    </row>
    <row r="17" spans="1:7" x14ac:dyDescent="0.2">
      <c r="A17" s="168">
        <v>19</v>
      </c>
      <c r="B17" s="154" t="s">
        <v>99</v>
      </c>
      <c r="C17" s="239">
        <v>9</v>
      </c>
      <c r="D17" s="239">
        <v>46.12</v>
      </c>
      <c r="E17" s="323">
        <f>C17^3/D17</f>
        <v>15.806591500433653</v>
      </c>
      <c r="F17" s="327">
        <f t="shared" si="0"/>
        <v>980.70251517779707</v>
      </c>
    </row>
    <row r="18" spans="1:7" x14ac:dyDescent="0.2">
      <c r="A18" s="168">
        <v>7</v>
      </c>
      <c r="B18" s="154" t="s">
        <v>113</v>
      </c>
      <c r="C18" s="239">
        <v>9</v>
      </c>
      <c r="D18" s="239">
        <v>59.19</v>
      </c>
      <c r="E18" s="323">
        <f>C18^3/D18</f>
        <v>12.316269640141916</v>
      </c>
      <c r="F18" s="327">
        <f t="shared" si="0"/>
        <v>764.14934955228921</v>
      </c>
    </row>
    <row r="19" spans="1:7" x14ac:dyDescent="0.2">
      <c r="A19" s="168">
        <v>5</v>
      </c>
      <c r="B19" s="154" t="s">
        <v>97</v>
      </c>
      <c r="C19" s="239">
        <v>9</v>
      </c>
      <c r="D19" s="239"/>
      <c r="E19" s="323"/>
      <c r="F19" s="327">
        <f t="shared" si="0"/>
        <v>0</v>
      </c>
      <c r="G19" s="111" t="s">
        <v>43</v>
      </c>
    </row>
    <row r="20" spans="1:7" x14ac:dyDescent="0.2">
      <c r="A20" s="168">
        <v>4</v>
      </c>
      <c r="B20" s="154" t="s">
        <v>109</v>
      </c>
      <c r="C20" s="239">
        <v>9</v>
      </c>
      <c r="D20" s="239">
        <v>60.43</v>
      </c>
      <c r="E20" s="323">
        <f>C20^3/D20</f>
        <v>12.063544597054443</v>
      </c>
      <c r="F20" s="327">
        <f t="shared" si="0"/>
        <v>748.4693033261625</v>
      </c>
    </row>
    <row r="21" spans="1:7" x14ac:dyDescent="0.2">
      <c r="A21" s="168">
        <v>12</v>
      </c>
      <c r="B21" s="154" t="s">
        <v>104</v>
      </c>
      <c r="C21" s="239">
        <v>9</v>
      </c>
      <c r="D21" s="239">
        <v>46.7</v>
      </c>
      <c r="E21" s="323">
        <f>C21^3/D21</f>
        <v>15.610278372591006</v>
      </c>
      <c r="F21" s="327">
        <f t="shared" si="0"/>
        <v>968.52248394004278</v>
      </c>
    </row>
    <row r="22" spans="1:7" ht="13.5" thickBot="1" x14ac:dyDescent="0.25">
      <c r="A22" s="178">
        <v>8</v>
      </c>
      <c r="B22" s="155" t="s">
        <v>106</v>
      </c>
      <c r="C22" s="321">
        <v>9</v>
      </c>
      <c r="D22" s="321"/>
      <c r="E22" s="325"/>
      <c r="F22" s="328">
        <f t="shared" si="0"/>
        <v>0</v>
      </c>
      <c r="G22" s="111" t="s">
        <v>43</v>
      </c>
    </row>
  </sheetData>
  <sortState ref="A4:G22">
    <sortCondition ref="B4:B22"/>
  </sortState>
  <conditionalFormatting sqref="C4:C11">
    <cfRule type="cellIs" dxfId="11" priority="3" operator="lessThan">
      <formula>9</formula>
    </cfRule>
  </conditionalFormatting>
  <conditionalFormatting sqref="C12:C22">
    <cfRule type="cellIs" dxfId="10" priority="1" operator="lessThan">
      <formula>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&amp;C&amp;A&amp;R&amp;D &amp;T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K23"/>
  <sheetViews>
    <sheetView zoomScaleNormal="100" workbookViewId="0">
      <selection activeCell="I30" sqref="I30"/>
    </sheetView>
  </sheetViews>
  <sheetFormatPr defaultColWidth="8.85546875" defaultRowHeight="12.75" x14ac:dyDescent="0.2"/>
  <cols>
    <col min="1" max="1" width="6" style="111" bestFit="1" customWidth="1"/>
    <col min="2" max="2" width="18.28515625" style="111" bestFit="1" customWidth="1"/>
    <col min="3" max="3" width="13.140625" style="111" customWidth="1"/>
    <col min="4" max="4" width="8.85546875" style="111" bestFit="1" customWidth="1"/>
    <col min="5" max="5" width="12" style="111" hidden="1" customWidth="1"/>
    <col min="6" max="6" width="5.85546875" style="111" bestFit="1" customWidth="1"/>
    <col min="7" max="7" width="7" style="111" customWidth="1"/>
    <col min="8" max="8" width="6.28515625" style="111" customWidth="1"/>
    <col min="9" max="9" width="15.140625" style="111" bestFit="1" customWidth="1"/>
    <col min="10" max="16384" width="8.85546875" style="111"/>
  </cols>
  <sheetData>
    <row r="1" spans="1:11" x14ac:dyDescent="0.2">
      <c r="C1" s="332" t="s">
        <v>171</v>
      </c>
      <c r="D1" s="167" t="s">
        <v>172</v>
      </c>
    </row>
    <row r="2" spans="1:11" ht="13.5" thickBot="1" x14ac:dyDescent="0.25">
      <c r="C2" s="157"/>
    </row>
    <row r="3" spans="1:11" ht="39" thickBot="1" x14ac:dyDescent="0.25">
      <c r="A3" s="176" t="s">
        <v>126</v>
      </c>
      <c r="B3" s="114" t="s">
        <v>21</v>
      </c>
      <c r="C3" s="169" t="s">
        <v>124</v>
      </c>
      <c r="D3" s="176" t="s">
        <v>45</v>
      </c>
      <c r="E3" s="176" t="s">
        <v>13</v>
      </c>
      <c r="F3" s="177" t="s">
        <v>22</v>
      </c>
      <c r="G3" s="117" t="s">
        <v>28</v>
      </c>
      <c r="H3" s="177" t="s">
        <v>6</v>
      </c>
    </row>
    <row r="4" spans="1:11" x14ac:dyDescent="0.2">
      <c r="A4" s="153">
        <v>14</v>
      </c>
      <c r="B4" s="153" t="s">
        <v>100</v>
      </c>
      <c r="C4" s="297"/>
      <c r="D4" s="153"/>
      <c r="E4" s="153"/>
      <c r="F4" s="201"/>
      <c r="G4" s="202"/>
      <c r="H4" s="201">
        <f t="shared" ref="H4:H22" si="0">ROUND(F4-F4*G4,0)</f>
        <v>0</v>
      </c>
    </row>
    <row r="5" spans="1:11" x14ac:dyDescent="0.2">
      <c r="A5" s="168">
        <v>17</v>
      </c>
      <c r="B5" s="154" t="s">
        <v>108</v>
      </c>
      <c r="C5" s="171">
        <v>3</v>
      </c>
      <c r="D5" s="154">
        <v>79.22</v>
      </c>
      <c r="E5" s="154">
        <f>C5^3/D5</f>
        <v>0.34082302448876545</v>
      </c>
      <c r="F5" s="174">
        <f>ROUND($K$5*E5/MAX($E$4:$E$22),0)</f>
        <v>625</v>
      </c>
      <c r="G5" s="136"/>
      <c r="H5" s="173">
        <f t="shared" si="0"/>
        <v>625</v>
      </c>
      <c r="J5" s="111" t="s">
        <v>11</v>
      </c>
      <c r="K5" s="166">
        <v>1000</v>
      </c>
    </row>
    <row r="6" spans="1:11" x14ac:dyDescent="0.2">
      <c r="A6" s="168">
        <v>16</v>
      </c>
      <c r="B6" s="154" t="s">
        <v>101</v>
      </c>
      <c r="C6" s="171"/>
      <c r="D6" s="154"/>
      <c r="E6" s="154"/>
      <c r="F6" s="174"/>
      <c r="G6" s="136"/>
      <c r="H6" s="173">
        <f t="shared" si="0"/>
        <v>0</v>
      </c>
    </row>
    <row r="7" spans="1:11" x14ac:dyDescent="0.2">
      <c r="A7" s="168">
        <v>18</v>
      </c>
      <c r="B7" s="154" t="s">
        <v>107</v>
      </c>
      <c r="C7" s="171">
        <v>3</v>
      </c>
      <c r="D7" s="154">
        <v>49.5</v>
      </c>
      <c r="E7" s="154">
        <f>C7^3/D7</f>
        <v>0.54545454545454541</v>
      </c>
      <c r="F7" s="174">
        <f>ROUND($K$5*E7/MAX($E$4:$E$22),0)</f>
        <v>1000</v>
      </c>
      <c r="G7" s="136"/>
      <c r="H7" s="173">
        <f t="shared" si="0"/>
        <v>1000</v>
      </c>
    </row>
    <row r="8" spans="1:11" x14ac:dyDescent="0.2">
      <c r="A8" s="168">
        <v>10</v>
      </c>
      <c r="B8" s="154" t="s">
        <v>110</v>
      </c>
      <c r="C8" s="183">
        <v>3</v>
      </c>
      <c r="D8" s="184">
        <v>75.3</v>
      </c>
      <c r="E8" s="184">
        <f>C8^3/D8</f>
        <v>0.35856573705179284</v>
      </c>
      <c r="F8" s="174">
        <f>ROUND($K$5*E8/MAX($E$4:$E$22),0)</f>
        <v>657</v>
      </c>
      <c r="G8" s="136"/>
      <c r="H8" s="173">
        <f t="shared" si="0"/>
        <v>657</v>
      </c>
    </row>
    <row r="9" spans="1:11" x14ac:dyDescent="0.2">
      <c r="A9" s="168">
        <v>11</v>
      </c>
      <c r="B9" s="154" t="s">
        <v>111</v>
      </c>
      <c r="C9" s="171">
        <v>3</v>
      </c>
      <c r="D9" s="154">
        <v>106.38</v>
      </c>
      <c r="E9" s="154">
        <f>C9^3/D9</f>
        <v>0.25380710659898476</v>
      </c>
      <c r="F9" s="174">
        <f>ROUND($K$5*E9/MAX($E$4:$E$22),0)</f>
        <v>465</v>
      </c>
      <c r="G9" s="136"/>
      <c r="H9" s="173">
        <f t="shared" si="0"/>
        <v>465</v>
      </c>
    </row>
    <row r="10" spans="1:11" x14ac:dyDescent="0.2">
      <c r="A10" s="168">
        <v>3</v>
      </c>
      <c r="B10" s="154" t="s">
        <v>56</v>
      </c>
      <c r="C10" s="171">
        <v>3</v>
      </c>
      <c r="D10" s="154">
        <v>103.13</v>
      </c>
      <c r="E10" s="154">
        <f>C10^3/D10</f>
        <v>0.26180548821875305</v>
      </c>
      <c r="F10" s="174">
        <f>ROUND($K$5*E10/MAX($E$4:$E$22),0)</f>
        <v>480</v>
      </c>
      <c r="G10" s="136"/>
      <c r="H10" s="173">
        <f t="shared" si="0"/>
        <v>480</v>
      </c>
    </row>
    <row r="11" spans="1:11" x14ac:dyDescent="0.2">
      <c r="A11" s="168">
        <v>13</v>
      </c>
      <c r="B11" s="154" t="s">
        <v>112</v>
      </c>
      <c r="C11" s="183"/>
      <c r="D11" s="154"/>
      <c r="E11" s="154"/>
      <c r="F11" s="174"/>
      <c r="G11" s="136"/>
      <c r="H11" s="173">
        <f t="shared" si="0"/>
        <v>0</v>
      </c>
    </row>
    <row r="12" spans="1:11" x14ac:dyDescent="0.2">
      <c r="A12" s="168">
        <v>15</v>
      </c>
      <c r="B12" s="154" t="s">
        <v>103</v>
      </c>
      <c r="C12" s="183"/>
      <c r="D12" s="154"/>
      <c r="E12" s="154"/>
      <c r="F12" s="174"/>
      <c r="G12" s="136"/>
      <c r="H12" s="173">
        <f t="shared" si="0"/>
        <v>0</v>
      </c>
    </row>
    <row r="13" spans="1:11" x14ac:dyDescent="0.2">
      <c r="A13" s="168">
        <v>1</v>
      </c>
      <c r="B13" s="154" t="s">
        <v>59</v>
      </c>
      <c r="C13" s="171">
        <v>3</v>
      </c>
      <c r="D13" s="154">
        <v>62.34</v>
      </c>
      <c r="E13" s="154">
        <f>C13^3/D13</f>
        <v>0.43310875842155916</v>
      </c>
      <c r="F13" s="174">
        <f>ROUND($K$5*E13/MAX($E$4:$E$22),0)</f>
        <v>794</v>
      </c>
      <c r="G13" s="136"/>
      <c r="H13" s="173">
        <f t="shared" si="0"/>
        <v>794</v>
      </c>
    </row>
    <row r="14" spans="1:11" x14ac:dyDescent="0.2">
      <c r="A14" s="168">
        <v>9</v>
      </c>
      <c r="B14" s="154" t="s">
        <v>102</v>
      </c>
      <c r="C14" s="183"/>
      <c r="D14" s="154"/>
      <c r="E14" s="154"/>
      <c r="F14" s="174"/>
      <c r="G14" s="136"/>
      <c r="H14" s="173">
        <f t="shared" si="0"/>
        <v>0</v>
      </c>
    </row>
    <row r="15" spans="1:11" x14ac:dyDescent="0.2">
      <c r="A15" s="168">
        <v>6</v>
      </c>
      <c r="B15" s="154" t="s">
        <v>58</v>
      </c>
      <c r="C15" s="171">
        <v>3</v>
      </c>
      <c r="D15" s="154">
        <v>56.3</v>
      </c>
      <c r="E15" s="154">
        <f>C15^3/D15</f>
        <v>0.47957371225577267</v>
      </c>
      <c r="F15" s="174">
        <f>ROUND($K$5*E15/MAX($E$4:$E$22),0)</f>
        <v>879</v>
      </c>
      <c r="G15" s="136"/>
      <c r="H15" s="173">
        <f t="shared" si="0"/>
        <v>879</v>
      </c>
    </row>
    <row r="16" spans="1:11" x14ac:dyDescent="0.2">
      <c r="A16" s="168">
        <v>2</v>
      </c>
      <c r="B16" s="154" t="s">
        <v>105</v>
      </c>
      <c r="C16" s="171">
        <v>3</v>
      </c>
      <c r="D16" s="154">
        <v>61.89</v>
      </c>
      <c r="E16" s="154">
        <f>C16^3/D16</f>
        <v>0.43625787687833251</v>
      </c>
      <c r="F16" s="174">
        <f>ROUND($K$5*E16/MAX($E$4:$E$22),0)</f>
        <v>800</v>
      </c>
      <c r="G16" s="136"/>
      <c r="H16" s="173">
        <f t="shared" si="0"/>
        <v>800</v>
      </c>
    </row>
    <row r="17" spans="1:8" x14ac:dyDescent="0.2">
      <c r="A17" s="168">
        <v>19</v>
      </c>
      <c r="B17" s="154" t="s">
        <v>99</v>
      </c>
      <c r="C17" s="183">
        <v>3</v>
      </c>
      <c r="D17" s="184">
        <v>57.14</v>
      </c>
      <c r="E17" s="184">
        <f>C17^3/D17</f>
        <v>0.47252362618130905</v>
      </c>
      <c r="F17" s="174">
        <f>ROUND($K$5*E17/MAX($E$4:$E$22),0)</f>
        <v>866</v>
      </c>
      <c r="G17" s="136"/>
      <c r="H17" s="173">
        <f t="shared" si="0"/>
        <v>866</v>
      </c>
    </row>
    <row r="18" spans="1:8" x14ac:dyDescent="0.2">
      <c r="A18" s="168">
        <v>7</v>
      </c>
      <c r="B18" s="154" t="s">
        <v>113</v>
      </c>
      <c r="C18" s="171">
        <v>3</v>
      </c>
      <c r="D18" s="154">
        <v>65.27</v>
      </c>
      <c r="E18" s="154">
        <f>C18^3/D18</f>
        <v>0.41366630917726371</v>
      </c>
      <c r="F18" s="174">
        <f>ROUND($K$5*E18/MAX($E$4:$E$22),0)</f>
        <v>758</v>
      </c>
      <c r="G18" s="136"/>
      <c r="H18" s="173">
        <f t="shared" si="0"/>
        <v>758</v>
      </c>
    </row>
    <row r="19" spans="1:8" x14ac:dyDescent="0.2">
      <c r="A19" s="168">
        <v>5</v>
      </c>
      <c r="B19" s="154" t="s">
        <v>97</v>
      </c>
      <c r="C19" s="183"/>
      <c r="D19" s="184"/>
      <c r="E19" s="184"/>
      <c r="F19" s="174"/>
      <c r="G19" s="136"/>
      <c r="H19" s="173">
        <f t="shared" si="0"/>
        <v>0</v>
      </c>
    </row>
    <row r="20" spans="1:8" x14ac:dyDescent="0.2">
      <c r="A20" s="168">
        <v>4</v>
      </c>
      <c r="B20" s="154" t="s">
        <v>109</v>
      </c>
      <c r="C20" s="183">
        <v>3</v>
      </c>
      <c r="D20" s="184">
        <v>70.5</v>
      </c>
      <c r="E20" s="154">
        <f>C20^3/D20</f>
        <v>0.38297872340425532</v>
      </c>
      <c r="F20" s="174">
        <f>ROUND($K$5*E20/MAX($E$4:$E$22),0)</f>
        <v>702</v>
      </c>
      <c r="G20" s="136"/>
      <c r="H20" s="173">
        <f t="shared" si="0"/>
        <v>702</v>
      </c>
    </row>
    <row r="21" spans="1:8" x14ac:dyDescent="0.2">
      <c r="A21" s="168">
        <v>12</v>
      </c>
      <c r="B21" s="154" t="s">
        <v>104</v>
      </c>
      <c r="C21" s="171">
        <v>3</v>
      </c>
      <c r="D21" s="154">
        <v>60.86</v>
      </c>
      <c r="E21" s="154">
        <f>C21^3/D21</f>
        <v>0.44364114360828133</v>
      </c>
      <c r="F21" s="174">
        <f>ROUND($K$5*E21/MAX($E$4:$E$22),0)</f>
        <v>813</v>
      </c>
      <c r="G21" s="136"/>
      <c r="H21" s="173">
        <f t="shared" si="0"/>
        <v>813</v>
      </c>
    </row>
    <row r="22" spans="1:8" ht="13.5" thickBot="1" x14ac:dyDescent="0.25">
      <c r="A22" s="178">
        <v>8</v>
      </c>
      <c r="B22" s="155" t="s">
        <v>106</v>
      </c>
      <c r="C22" s="298"/>
      <c r="D22" s="155"/>
      <c r="E22" s="155"/>
      <c r="F22" s="175"/>
      <c r="G22" s="203"/>
      <c r="H22" s="204">
        <f t="shared" si="0"/>
        <v>0</v>
      </c>
    </row>
    <row r="23" spans="1:8" ht="15" x14ac:dyDescent="0.25">
      <c r="A23"/>
      <c r="B23"/>
    </row>
  </sheetData>
  <sortState ref="A4:H22">
    <sortCondition ref="B4:B2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&amp;C&amp;A&amp;R&amp;D &amp;T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13"/>
  <sheetViews>
    <sheetView workbookViewId="0">
      <selection activeCell="F4" sqref="F4:F13"/>
    </sheetView>
  </sheetViews>
  <sheetFormatPr defaultColWidth="8.85546875" defaultRowHeight="15" x14ac:dyDescent="0.25"/>
  <cols>
    <col min="1" max="1" width="20.7109375" style="4" customWidth="1"/>
    <col min="2" max="2" width="13.42578125" style="4" bestFit="1" customWidth="1"/>
    <col min="3" max="3" width="15.7109375" style="4" bestFit="1" customWidth="1"/>
    <col min="4" max="4" width="6.7109375" style="4" hidden="1" customWidth="1"/>
    <col min="5" max="5" width="10" style="4" customWidth="1"/>
    <col min="6" max="6" width="23.7109375" style="4" customWidth="1"/>
    <col min="7" max="7" width="22.42578125" style="4" bestFit="1" customWidth="1"/>
    <col min="8" max="16384" width="8.85546875" style="4"/>
  </cols>
  <sheetData>
    <row r="1" spans="1:7" ht="21" x14ac:dyDescent="0.25">
      <c r="B1" s="15" t="s">
        <v>14</v>
      </c>
      <c r="C1" s="4" t="s">
        <v>39</v>
      </c>
    </row>
    <row r="2" spans="1:7" ht="15.75" thickBot="1" x14ac:dyDescent="0.3">
      <c r="B2" s="5"/>
    </row>
    <row r="3" spans="1:7" ht="15.75" thickBot="1" x14ac:dyDescent="0.3">
      <c r="A3" s="2" t="s">
        <v>21</v>
      </c>
      <c r="B3" s="34" t="s">
        <v>50</v>
      </c>
      <c r="C3" s="9" t="s">
        <v>45</v>
      </c>
      <c r="D3" s="20" t="s">
        <v>13</v>
      </c>
      <c r="E3" s="3" t="s">
        <v>28</v>
      </c>
      <c r="F3" s="3" t="s">
        <v>22</v>
      </c>
    </row>
    <row r="4" spans="1:7" x14ac:dyDescent="0.25">
      <c r="A4" s="49" t="s">
        <v>54</v>
      </c>
      <c r="B4" s="35">
        <v>5</v>
      </c>
      <c r="C4" s="29">
        <v>88.68</v>
      </c>
      <c r="D4" s="30">
        <f t="shared" ref="D4:D12" si="0">B4^3/C4</f>
        <v>1.4095624718087505</v>
      </c>
      <c r="E4" s="21"/>
      <c r="F4" s="38">
        <f t="shared" ref="F4:F12" si="1">1000*D4/MAX($D$4:$D$12)*(1-E4)</f>
        <v>516.23815967523683</v>
      </c>
    </row>
    <row r="5" spans="1:7" x14ac:dyDescent="0.25">
      <c r="A5" s="48" t="s">
        <v>30</v>
      </c>
      <c r="B5" s="36">
        <v>5</v>
      </c>
      <c r="C5" s="7">
        <v>58.42</v>
      </c>
      <c r="D5" s="31">
        <f t="shared" si="0"/>
        <v>2.1396781923998631</v>
      </c>
      <c r="E5" s="22"/>
      <c r="F5" s="39">
        <f t="shared" si="1"/>
        <v>783.63574118452595</v>
      </c>
    </row>
    <row r="6" spans="1:7" x14ac:dyDescent="0.25">
      <c r="A6" s="48" t="s">
        <v>56</v>
      </c>
      <c r="B6" s="36">
        <v>5</v>
      </c>
      <c r="C6" s="7">
        <v>84.34</v>
      </c>
      <c r="D6" s="31">
        <f t="shared" si="0"/>
        <v>1.4820962769741521</v>
      </c>
      <c r="E6" s="22"/>
      <c r="F6" s="39">
        <f t="shared" si="1"/>
        <v>542.8029404790135</v>
      </c>
    </row>
    <row r="7" spans="1:7" x14ac:dyDescent="0.25">
      <c r="A7" s="48" t="s">
        <v>57</v>
      </c>
      <c r="B7" s="36">
        <v>5</v>
      </c>
      <c r="C7" s="8">
        <v>47.2</v>
      </c>
      <c r="D7" s="31">
        <f t="shared" si="0"/>
        <v>2.6483050847457625</v>
      </c>
      <c r="E7" s="22"/>
      <c r="F7" s="39">
        <f t="shared" si="1"/>
        <v>969.91525423728808</v>
      </c>
    </row>
    <row r="8" spans="1:7" x14ac:dyDescent="0.25">
      <c r="A8" s="48" t="s">
        <v>10</v>
      </c>
      <c r="B8" s="36">
        <v>5</v>
      </c>
      <c r="C8" s="7">
        <v>72.95</v>
      </c>
      <c r="D8" s="31">
        <f t="shared" si="0"/>
        <v>1.7135023989033584</v>
      </c>
      <c r="E8" s="22"/>
      <c r="F8" s="39">
        <f t="shared" si="1"/>
        <v>627.55311857436607</v>
      </c>
      <c r="G8" s="45" t="s">
        <v>44</v>
      </c>
    </row>
    <row r="9" spans="1:7" x14ac:dyDescent="0.25">
      <c r="A9" s="48" t="s">
        <v>58</v>
      </c>
      <c r="B9" s="36">
        <v>5</v>
      </c>
      <c r="C9" s="7">
        <v>61.93</v>
      </c>
      <c r="D9" s="31">
        <f t="shared" si="0"/>
        <v>2.018407879864363</v>
      </c>
      <c r="E9" s="22"/>
      <c r="F9" s="39">
        <f t="shared" si="1"/>
        <v>739.2217019215243</v>
      </c>
    </row>
    <row r="10" spans="1:7" x14ac:dyDescent="0.25">
      <c r="A10" s="48" t="s">
        <v>59</v>
      </c>
      <c r="B10" s="36">
        <v>5</v>
      </c>
      <c r="C10" s="7">
        <v>47.28</v>
      </c>
      <c r="D10" s="31">
        <f t="shared" si="0"/>
        <v>2.6438240270727578</v>
      </c>
      <c r="E10" s="22"/>
      <c r="F10" s="39">
        <f t="shared" si="1"/>
        <v>968.27411167512696</v>
      </c>
    </row>
    <row r="11" spans="1:7" x14ac:dyDescent="0.25">
      <c r="A11" s="48" t="s">
        <v>60</v>
      </c>
      <c r="B11" s="36">
        <v>5</v>
      </c>
      <c r="C11" s="7">
        <v>48.8</v>
      </c>
      <c r="D11" s="31">
        <f t="shared" si="0"/>
        <v>2.5614754098360657</v>
      </c>
      <c r="E11" s="22"/>
      <c r="F11" s="39">
        <f t="shared" si="1"/>
        <v>938.11475409836078</v>
      </c>
    </row>
    <row r="12" spans="1:7" x14ac:dyDescent="0.25">
      <c r="A12" s="48" t="s">
        <v>61</v>
      </c>
      <c r="B12" s="36">
        <v>5</v>
      </c>
      <c r="C12" s="7">
        <v>45.78</v>
      </c>
      <c r="D12" s="31">
        <f t="shared" si="0"/>
        <v>2.7304499781564</v>
      </c>
      <c r="E12" s="22"/>
      <c r="F12" s="39">
        <f t="shared" si="1"/>
        <v>1000</v>
      </c>
    </row>
    <row r="13" spans="1:7" x14ac:dyDescent="0.25">
      <c r="A13" s="48" t="s">
        <v>55</v>
      </c>
      <c r="B13" s="36">
        <v>5</v>
      </c>
      <c r="C13" s="7">
        <v>0</v>
      </c>
      <c r="D13" s="31" t="e">
        <f>B13^3/C13</f>
        <v>#DIV/0!</v>
      </c>
      <c r="E13" s="22"/>
      <c r="F13" s="39">
        <v>0</v>
      </c>
    </row>
  </sheetData>
  <sortState ref="A4:H16">
    <sortCondition descending="1" ref="F4:F16"/>
  </sortState>
  <phoneticPr fontId="28" type="noConversion"/>
  <conditionalFormatting sqref="B4:B13">
    <cfRule type="cellIs" dxfId="9" priority="1" operator="lessThan">
      <formula>9</formula>
    </cfRule>
  </conditionalFormatting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F13"/>
  <sheetViews>
    <sheetView workbookViewId="0">
      <selection activeCell="F7" sqref="F7"/>
    </sheetView>
  </sheetViews>
  <sheetFormatPr defaultColWidth="8.85546875" defaultRowHeight="15" x14ac:dyDescent="0.25"/>
  <cols>
    <col min="1" max="1" width="26.7109375" style="4" customWidth="1"/>
    <col min="2" max="2" width="18.28515625" style="4" customWidth="1"/>
    <col min="3" max="3" width="16.7109375" style="4" customWidth="1"/>
    <col min="4" max="4" width="9.7109375" style="4" customWidth="1"/>
    <col min="5" max="5" width="9.140625" style="4" customWidth="1"/>
    <col min="6" max="6" width="9.28515625" style="4" customWidth="1"/>
    <col min="7" max="11" width="9.140625" style="4" customWidth="1"/>
    <col min="12" max="16384" width="8.85546875" style="4"/>
  </cols>
  <sheetData>
    <row r="1" spans="1:6" ht="21" x14ac:dyDescent="0.25">
      <c r="B1" s="50" t="s">
        <v>63</v>
      </c>
      <c r="C1" s="13"/>
    </row>
    <row r="2" spans="1:6" ht="15.75" thickBot="1" x14ac:dyDescent="0.3">
      <c r="B2" s="5"/>
    </row>
    <row r="3" spans="1:6" ht="15.75" thickBot="1" x14ac:dyDescent="0.3">
      <c r="A3" s="26" t="s">
        <v>21</v>
      </c>
      <c r="B3" s="41" t="s">
        <v>23</v>
      </c>
      <c r="C3" s="44" t="s">
        <v>22</v>
      </c>
      <c r="D3" s="40"/>
      <c r="F3" s="4" t="s">
        <v>12</v>
      </c>
    </row>
    <row r="4" spans="1:6" x14ac:dyDescent="0.25">
      <c r="A4" s="49" t="s">
        <v>54</v>
      </c>
      <c r="B4" s="43">
        <v>1</v>
      </c>
      <c r="C4" s="37">
        <f t="shared" ref="C4:C13" si="0">IF(B4=3,$F$6,IF(B4=2,$F$5,IF(B4=1,$F$4,0)))</f>
        <v>250</v>
      </c>
      <c r="D4" s="25"/>
      <c r="F4" s="11">
        <v>250</v>
      </c>
    </row>
    <row r="5" spans="1:6" x14ac:dyDescent="0.25">
      <c r="A5" s="48" t="s">
        <v>30</v>
      </c>
      <c r="B5" s="43">
        <v>1</v>
      </c>
      <c r="C5" s="37">
        <f t="shared" si="0"/>
        <v>250</v>
      </c>
      <c r="D5" s="25"/>
      <c r="F5" s="11">
        <v>170</v>
      </c>
    </row>
    <row r="6" spans="1:6" x14ac:dyDescent="0.25">
      <c r="A6" s="48" t="s">
        <v>55</v>
      </c>
      <c r="B6" s="43">
        <v>2</v>
      </c>
      <c r="C6" s="37">
        <f t="shared" si="0"/>
        <v>170</v>
      </c>
      <c r="D6" s="25"/>
      <c r="F6" s="11">
        <v>90</v>
      </c>
    </row>
    <row r="7" spans="1:6" x14ac:dyDescent="0.25">
      <c r="A7" s="48" t="s">
        <v>56</v>
      </c>
      <c r="B7" s="43">
        <v>1</v>
      </c>
      <c r="C7" s="37">
        <f t="shared" si="0"/>
        <v>250</v>
      </c>
      <c r="D7" s="25"/>
      <c r="F7" s="11"/>
    </row>
    <row r="8" spans="1:6" x14ac:dyDescent="0.25">
      <c r="A8" s="48" t="s">
        <v>57</v>
      </c>
      <c r="B8" s="43">
        <v>1</v>
      </c>
      <c r="C8" s="37">
        <f t="shared" si="0"/>
        <v>250</v>
      </c>
      <c r="D8" s="25"/>
    </row>
    <row r="9" spans="1:6" x14ac:dyDescent="0.25">
      <c r="A9" s="48" t="s">
        <v>10</v>
      </c>
      <c r="B9" s="43">
        <v>1</v>
      </c>
      <c r="C9" s="37">
        <f t="shared" si="0"/>
        <v>250</v>
      </c>
      <c r="D9" s="25"/>
    </row>
    <row r="10" spans="1:6" x14ac:dyDescent="0.25">
      <c r="A10" s="48" t="s">
        <v>58</v>
      </c>
      <c r="B10" s="43">
        <v>1</v>
      </c>
      <c r="C10" s="37">
        <f t="shared" si="0"/>
        <v>250</v>
      </c>
      <c r="D10" s="25"/>
    </row>
    <row r="11" spans="1:6" x14ac:dyDescent="0.25">
      <c r="A11" s="48" t="s">
        <v>59</v>
      </c>
      <c r="B11" s="43">
        <v>1</v>
      </c>
      <c r="C11" s="37">
        <f t="shared" si="0"/>
        <v>250</v>
      </c>
      <c r="D11" s="25"/>
    </row>
    <row r="12" spans="1:6" x14ac:dyDescent="0.25">
      <c r="A12" s="48" t="s">
        <v>60</v>
      </c>
      <c r="B12" s="43">
        <v>1</v>
      </c>
      <c r="C12" s="37">
        <f t="shared" si="0"/>
        <v>250</v>
      </c>
      <c r="D12" s="25"/>
    </row>
    <row r="13" spans="1:6" x14ac:dyDescent="0.25">
      <c r="A13" s="48" t="s">
        <v>61</v>
      </c>
      <c r="B13" s="43">
        <v>1</v>
      </c>
      <c r="C13" s="37">
        <f t="shared" si="0"/>
        <v>250</v>
      </c>
      <c r="D13" s="25"/>
    </row>
  </sheetData>
  <phoneticPr fontId="28" type="noConversion"/>
  <pageMargins left="0.70866141732283472" right="0.70866141732283472" top="0.74803149606299213" bottom="0.74803149606299213" header="0.31496062992125984" footer="0.31496062992125984"/>
  <extLst>
    <ext xmlns:mx="http://schemas.microsoft.com/office/mac/excel/2008/main" uri="http://schemas.microsoft.com/office/mac/excel/2008/main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H19"/>
  <sheetViews>
    <sheetView workbookViewId="0">
      <selection activeCell="D27" sqref="D27"/>
    </sheetView>
  </sheetViews>
  <sheetFormatPr defaultColWidth="8.85546875" defaultRowHeight="15" x14ac:dyDescent="0.25"/>
  <cols>
    <col min="1" max="1" width="26.7109375" style="4" bestFit="1" customWidth="1"/>
    <col min="2" max="2" width="18" style="4" customWidth="1"/>
    <col min="3" max="3" width="15.42578125" style="4" bestFit="1" customWidth="1"/>
    <col min="4" max="4" width="32.42578125" style="4" customWidth="1"/>
    <col min="5" max="5" width="14.85546875" style="4" customWidth="1"/>
    <col min="6" max="6" width="6.7109375" style="4" bestFit="1" customWidth="1"/>
    <col min="7" max="7" width="5" style="4" customWidth="1"/>
    <col min="8" max="8" width="13.7109375" style="4" bestFit="1" customWidth="1"/>
    <col min="9" max="16384" width="8.85546875" style="4"/>
  </cols>
  <sheetData>
    <row r="1" spans="1:8" x14ac:dyDescent="0.25">
      <c r="B1" s="12" t="s">
        <v>24</v>
      </c>
      <c r="C1" s="4" t="s">
        <v>37</v>
      </c>
    </row>
    <row r="2" spans="1:8" ht="21.75" thickBot="1" x14ac:dyDescent="0.4">
      <c r="A2" s="344" t="s">
        <v>70</v>
      </c>
      <c r="B2" s="344"/>
    </row>
    <row r="3" spans="1:8" ht="15.75" thickBot="1" x14ac:dyDescent="0.3">
      <c r="A3" s="26" t="s">
        <v>21</v>
      </c>
      <c r="B3" s="27" t="s">
        <v>25</v>
      </c>
      <c r="C3" s="28" t="s">
        <v>22</v>
      </c>
      <c r="F3" s="55"/>
      <c r="G3" s="55"/>
      <c r="H3" s="56"/>
    </row>
    <row r="4" spans="1:8" ht="15.75" thickBot="1" x14ac:dyDescent="0.3">
      <c r="A4" s="49" t="s">
        <v>54</v>
      </c>
      <c r="B4" s="23">
        <v>4</v>
      </c>
      <c r="C4" s="10">
        <v>0</v>
      </c>
      <c r="D4" s="24"/>
      <c r="F4" s="55"/>
      <c r="G4" s="55"/>
      <c r="H4" s="57"/>
    </row>
    <row r="5" spans="1:8" ht="15.75" thickBot="1" x14ac:dyDescent="0.3">
      <c r="A5" s="48" t="s">
        <v>30</v>
      </c>
      <c r="B5" s="7">
        <v>2</v>
      </c>
      <c r="C5" s="10">
        <v>100</v>
      </c>
      <c r="D5" s="25"/>
    </row>
    <row r="6" spans="1:8" ht="15.75" thickBot="1" x14ac:dyDescent="0.3">
      <c r="A6" s="48" t="s">
        <v>56</v>
      </c>
      <c r="B6" s="17">
        <v>1</v>
      </c>
      <c r="C6" s="10">
        <v>175</v>
      </c>
      <c r="D6" s="25"/>
    </row>
    <row r="7" spans="1:8" ht="15.75" thickBot="1" x14ac:dyDescent="0.3">
      <c r="A7" s="48" t="s">
        <v>57</v>
      </c>
      <c r="B7" s="14">
        <v>4</v>
      </c>
      <c r="C7" s="10">
        <v>0</v>
      </c>
      <c r="D7" s="25" t="s">
        <v>42</v>
      </c>
    </row>
    <row r="8" spans="1:8" ht="15.75" thickBot="1" x14ac:dyDescent="0.3">
      <c r="A8" s="48" t="s">
        <v>10</v>
      </c>
      <c r="B8" s="14">
        <v>2</v>
      </c>
      <c r="C8" s="10">
        <v>100</v>
      </c>
      <c r="D8" s="25"/>
    </row>
    <row r="9" spans="1:8" ht="15.75" thickBot="1" x14ac:dyDescent="0.3">
      <c r="A9" s="48" t="s">
        <v>58</v>
      </c>
      <c r="B9" s="14">
        <v>0</v>
      </c>
      <c r="C9" s="10">
        <v>250</v>
      </c>
      <c r="D9" s="25"/>
    </row>
    <row r="10" spans="1:8" ht="15.75" thickBot="1" x14ac:dyDescent="0.3">
      <c r="A10" s="48" t="s">
        <v>59</v>
      </c>
      <c r="B10" s="17">
        <v>1</v>
      </c>
      <c r="C10" s="10">
        <v>175</v>
      </c>
      <c r="D10" s="25"/>
    </row>
    <row r="11" spans="1:8" ht="15.75" thickBot="1" x14ac:dyDescent="0.3">
      <c r="A11" s="48" t="s">
        <v>60</v>
      </c>
      <c r="B11" s="17">
        <v>4</v>
      </c>
      <c r="C11" s="10">
        <v>0</v>
      </c>
      <c r="D11" s="25"/>
    </row>
    <row r="12" spans="1:8" ht="15.75" thickBot="1" x14ac:dyDescent="0.3">
      <c r="A12" s="48" t="s">
        <v>61</v>
      </c>
      <c r="B12" s="17">
        <v>0</v>
      </c>
      <c r="C12" s="10">
        <v>250</v>
      </c>
      <c r="D12" s="25"/>
    </row>
    <row r="13" spans="1:8" x14ac:dyDescent="0.25">
      <c r="A13" s="48" t="s">
        <v>55</v>
      </c>
      <c r="B13" s="58">
        <v>4</v>
      </c>
      <c r="C13" s="59">
        <v>0</v>
      </c>
      <c r="D13" s="25"/>
    </row>
    <row r="15" spans="1:8" x14ac:dyDescent="0.25">
      <c r="A15" s="54" t="s">
        <v>64</v>
      </c>
    </row>
    <row r="16" spans="1:8" x14ac:dyDescent="0.25">
      <c r="A16" s="54" t="s">
        <v>65</v>
      </c>
    </row>
    <row r="17" spans="1:1" x14ac:dyDescent="0.25">
      <c r="A17" s="54" t="s">
        <v>66</v>
      </c>
    </row>
    <row r="18" spans="1:1" x14ac:dyDescent="0.25">
      <c r="A18" s="54" t="s">
        <v>67</v>
      </c>
    </row>
    <row r="19" spans="1:1" x14ac:dyDescent="0.25">
      <c r="A19" s="54" t="s">
        <v>68</v>
      </c>
    </row>
  </sheetData>
  <mergeCells count="1">
    <mergeCell ref="A2:B2"/>
  </mergeCells>
  <phoneticPr fontId="28" type="noConversion"/>
  <pageMargins left="0.7" right="0.7" top="0.75" bottom="0.75" header="0.3" footer="0.3"/>
  <colBreaks count="1" manualBreakCount="1">
    <brk id="4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15"/>
  <sheetViews>
    <sheetView workbookViewId="0">
      <selection activeCell="A5" sqref="A5:A15"/>
    </sheetView>
  </sheetViews>
  <sheetFormatPr defaultColWidth="8.85546875" defaultRowHeight="15" x14ac:dyDescent="0.25"/>
  <cols>
    <col min="1" max="1" width="26.7109375" style="4" bestFit="1" customWidth="1"/>
    <col min="2" max="2" width="16.85546875" style="4" bestFit="1" customWidth="1"/>
    <col min="3" max="3" width="15.42578125" style="4" bestFit="1" customWidth="1"/>
    <col min="4" max="4" width="8" style="4" customWidth="1"/>
    <col min="5" max="5" width="9.28515625" style="4" bestFit="1" customWidth="1"/>
    <col min="6" max="6" width="6.7109375" style="4" bestFit="1" customWidth="1"/>
    <col min="7" max="16384" width="8.85546875" style="4"/>
  </cols>
  <sheetData>
    <row r="1" spans="1:7" ht="26.25" x14ac:dyDescent="0.25">
      <c r="B1" s="18" t="s">
        <v>29</v>
      </c>
      <c r="C1" s="4" t="s">
        <v>38</v>
      </c>
    </row>
    <row r="2" spans="1:7" ht="15.75" thickBot="1" x14ac:dyDescent="0.3">
      <c r="B2" s="5"/>
    </row>
    <row r="3" spans="1:7" ht="30.75" thickBot="1" x14ac:dyDescent="0.3">
      <c r="A3" s="6" t="s">
        <v>21</v>
      </c>
      <c r="B3" s="9" t="s">
        <v>49</v>
      </c>
      <c r="C3" s="1" t="s">
        <v>22</v>
      </c>
    </row>
    <row r="4" spans="1:7" x14ac:dyDescent="0.25">
      <c r="A4" s="49"/>
      <c r="B4" s="29"/>
      <c r="C4" s="32"/>
      <c r="F4" s="4" t="s">
        <v>12</v>
      </c>
      <c r="G4" s="11">
        <v>250</v>
      </c>
    </row>
    <row r="5" spans="1:7" x14ac:dyDescent="0.25">
      <c r="A5" s="48" t="s">
        <v>30</v>
      </c>
      <c r="B5" s="7">
        <v>5.64</v>
      </c>
      <c r="C5" s="33">
        <f t="shared" ref="C5:C13" si="0">$G$4*MIN($B$4:$B$13)/B5</f>
        <v>133.42198581560285</v>
      </c>
    </row>
    <row r="6" spans="1:7" x14ac:dyDescent="0.25">
      <c r="A6" s="48" t="s">
        <v>55</v>
      </c>
      <c r="B6" s="7">
        <v>4.09</v>
      </c>
      <c r="C6" s="33">
        <f t="shared" si="0"/>
        <v>183.98533007334964</v>
      </c>
    </row>
    <row r="7" spans="1:7" x14ac:dyDescent="0.25">
      <c r="A7" s="48" t="s">
        <v>56</v>
      </c>
      <c r="B7" s="7">
        <v>4.87</v>
      </c>
      <c r="C7" s="33">
        <f t="shared" si="0"/>
        <v>154.51745379876797</v>
      </c>
    </row>
    <row r="8" spans="1:7" x14ac:dyDescent="0.25">
      <c r="A8" s="48" t="s">
        <v>57</v>
      </c>
      <c r="B8" s="7">
        <v>5.35</v>
      </c>
      <c r="C8" s="33">
        <f t="shared" si="0"/>
        <v>140.65420560747665</v>
      </c>
    </row>
    <row r="9" spans="1:7" x14ac:dyDescent="0.25">
      <c r="A9" s="48" t="s">
        <v>10</v>
      </c>
      <c r="B9" s="7">
        <v>3.81</v>
      </c>
      <c r="C9" s="33">
        <f t="shared" si="0"/>
        <v>197.50656167979002</v>
      </c>
      <c r="D9" s="19"/>
    </row>
    <row r="10" spans="1:7" x14ac:dyDescent="0.25">
      <c r="A10" s="48" t="s">
        <v>58</v>
      </c>
      <c r="B10" s="7">
        <v>4.17</v>
      </c>
      <c r="C10" s="33">
        <f t="shared" si="0"/>
        <v>180.45563549160673</v>
      </c>
    </row>
    <row r="11" spans="1:7" x14ac:dyDescent="0.25">
      <c r="A11" s="48" t="s">
        <v>59</v>
      </c>
      <c r="B11" s="7">
        <v>3.26</v>
      </c>
      <c r="C11" s="33">
        <f t="shared" si="0"/>
        <v>230.82822085889572</v>
      </c>
    </row>
    <row r="12" spans="1:7" x14ac:dyDescent="0.25">
      <c r="A12" s="48" t="s">
        <v>60</v>
      </c>
      <c r="B12" s="7">
        <v>3.01</v>
      </c>
      <c r="C12" s="33">
        <f t="shared" si="0"/>
        <v>250.00000000000003</v>
      </c>
    </row>
    <row r="13" spans="1:7" x14ac:dyDescent="0.25">
      <c r="A13" s="48" t="s">
        <v>61</v>
      </c>
      <c r="B13" s="7">
        <v>4.37</v>
      </c>
      <c r="C13" s="33">
        <f t="shared" si="0"/>
        <v>172.19679633867275</v>
      </c>
    </row>
    <row r="14" spans="1:7" ht="15.75" thickBot="1" x14ac:dyDescent="0.3"/>
    <row r="15" spans="1:7" x14ac:dyDescent="0.25">
      <c r="A15" s="49" t="s">
        <v>54</v>
      </c>
      <c r="B15" s="7">
        <v>0</v>
      </c>
      <c r="C15" s="33" t="s">
        <v>36</v>
      </c>
    </row>
  </sheetData>
  <sortState ref="A4:E17">
    <sortCondition descending="1" ref="C4:C17"/>
  </sortState>
  <phoneticPr fontId="2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L19"/>
  <sheetViews>
    <sheetView workbookViewId="0">
      <selection activeCell="L20" sqref="L20"/>
    </sheetView>
  </sheetViews>
  <sheetFormatPr defaultColWidth="8.85546875" defaultRowHeight="15" x14ac:dyDescent="0.25"/>
  <cols>
    <col min="1" max="1" width="20.7109375" style="4" customWidth="1"/>
    <col min="2" max="2" width="13.42578125" style="4" hidden="1" customWidth="1"/>
    <col min="3" max="3" width="11.28515625" style="4" customWidth="1"/>
    <col min="4" max="4" width="5.140625" style="4" hidden="1" customWidth="1"/>
    <col min="5" max="5" width="6.42578125" style="4" bestFit="1" customWidth="1"/>
    <col min="6" max="6" width="10" style="101" customWidth="1"/>
    <col min="7" max="16384" width="8.85546875" style="4"/>
  </cols>
  <sheetData>
    <row r="1" spans="1:12" ht="21" x14ac:dyDescent="0.3">
      <c r="B1" s="63" t="s">
        <v>72</v>
      </c>
      <c r="C1" s="94" t="s">
        <v>72</v>
      </c>
    </row>
    <row r="2" spans="1:12" ht="15.75" thickBot="1" x14ac:dyDescent="0.3">
      <c r="B2" s="5"/>
    </row>
    <row r="3" spans="1:12" ht="30.75" thickBot="1" x14ac:dyDescent="0.3">
      <c r="A3" s="2" t="s">
        <v>21</v>
      </c>
      <c r="B3" s="34" t="s">
        <v>50</v>
      </c>
      <c r="C3" s="9" t="s">
        <v>45</v>
      </c>
      <c r="D3" s="20" t="s">
        <v>13</v>
      </c>
      <c r="E3" s="3" t="s">
        <v>22</v>
      </c>
      <c r="F3" s="102" t="s">
        <v>28</v>
      </c>
    </row>
    <row r="4" spans="1:12" x14ac:dyDescent="0.25">
      <c r="A4" s="98" t="s">
        <v>31</v>
      </c>
      <c r="B4" s="65">
        <v>5</v>
      </c>
      <c r="C4" s="29">
        <v>52.78</v>
      </c>
      <c r="D4" s="30">
        <f t="shared" ref="D4:D12" si="0">B4^3/C4</f>
        <v>2.3683213338385753</v>
      </c>
      <c r="E4" s="38">
        <f t="shared" ref="E4:E12" si="1">1000*D4/MAX($D$4:$D$12)*(1-F4)</f>
        <v>753.69458128078827</v>
      </c>
      <c r="F4" s="103"/>
      <c r="G4" s="55">
        <f>E4*F4</f>
        <v>0</v>
      </c>
    </row>
    <row r="5" spans="1:12" x14ac:dyDescent="0.25">
      <c r="A5" s="48" t="s">
        <v>60</v>
      </c>
      <c r="B5" s="66">
        <v>5</v>
      </c>
      <c r="C5" s="7">
        <v>39.78</v>
      </c>
      <c r="D5" s="31">
        <f t="shared" si="0"/>
        <v>3.1422825540472599</v>
      </c>
      <c r="E5" s="38">
        <f t="shared" si="1"/>
        <v>1000</v>
      </c>
      <c r="F5" s="104"/>
    </row>
    <row r="6" spans="1:12" x14ac:dyDescent="0.25">
      <c r="A6" s="48" t="s">
        <v>56</v>
      </c>
      <c r="B6" s="66">
        <v>5</v>
      </c>
      <c r="C6" s="8">
        <v>75.3</v>
      </c>
      <c r="D6" s="31">
        <f t="shared" si="0"/>
        <v>1.6600265604249669</v>
      </c>
      <c r="E6" s="38">
        <f t="shared" si="1"/>
        <v>528.28685258964151</v>
      </c>
      <c r="F6" s="104"/>
      <c r="G6" s="55"/>
    </row>
    <row r="7" spans="1:12" x14ac:dyDescent="0.25">
      <c r="A7" s="48" t="s">
        <v>59</v>
      </c>
      <c r="B7" s="66">
        <v>5</v>
      </c>
      <c r="C7" s="7">
        <v>48.87</v>
      </c>
      <c r="D7" s="31">
        <f t="shared" si="0"/>
        <v>2.5578064252097401</v>
      </c>
      <c r="E7" s="38">
        <f t="shared" si="1"/>
        <v>813.99631675874775</v>
      </c>
      <c r="F7" s="104"/>
      <c r="G7" s="55"/>
    </row>
    <row r="8" spans="1:12" x14ac:dyDescent="0.25">
      <c r="A8" s="98" t="s">
        <v>10</v>
      </c>
      <c r="B8" s="66">
        <v>5</v>
      </c>
      <c r="C8" s="7">
        <v>70.56</v>
      </c>
      <c r="D8" s="31">
        <f t="shared" si="0"/>
        <v>1.7715419501133787</v>
      </c>
      <c r="E8" s="38">
        <f t="shared" si="1"/>
        <v>563.77551020408157</v>
      </c>
      <c r="F8" s="104"/>
    </row>
    <row r="9" spans="1:12" x14ac:dyDescent="0.25">
      <c r="A9" s="48" t="s">
        <v>58</v>
      </c>
      <c r="B9" s="66">
        <v>5</v>
      </c>
      <c r="C9" s="7">
        <v>45.51</v>
      </c>
      <c r="D9" s="31">
        <f t="shared" si="0"/>
        <v>2.7466490881125027</v>
      </c>
      <c r="E9" s="38">
        <f t="shared" si="1"/>
        <v>874.09360580092289</v>
      </c>
      <c r="F9" s="104"/>
      <c r="H9" s="4">
        <v>184</v>
      </c>
      <c r="I9" s="4">
        <v>874</v>
      </c>
      <c r="J9" s="107">
        <f>SUM(I9-H9)</f>
        <v>690</v>
      </c>
    </row>
    <row r="10" spans="1:12" x14ac:dyDescent="0.25">
      <c r="A10" s="48" t="s">
        <v>61</v>
      </c>
      <c r="B10" s="66">
        <v>5</v>
      </c>
      <c r="C10" s="7">
        <v>42.89</v>
      </c>
      <c r="D10" s="31">
        <f t="shared" si="0"/>
        <v>2.9144322685940778</v>
      </c>
      <c r="E10" s="38">
        <f t="shared" si="1"/>
        <v>927.48892515737941</v>
      </c>
      <c r="F10" s="104"/>
      <c r="H10" s="4">
        <v>818</v>
      </c>
      <c r="I10" s="4">
        <v>863</v>
      </c>
      <c r="J10" s="107">
        <f>SUM(I10-H10)</f>
        <v>45</v>
      </c>
    </row>
    <row r="11" spans="1:12" x14ac:dyDescent="0.25">
      <c r="A11" s="99" t="s">
        <v>57</v>
      </c>
      <c r="B11" s="66">
        <v>5</v>
      </c>
      <c r="C11" s="8">
        <v>75.56</v>
      </c>
      <c r="D11" s="31">
        <f t="shared" si="0"/>
        <v>1.6543144520910533</v>
      </c>
      <c r="E11" s="38">
        <f t="shared" si="1"/>
        <v>184.26416093170988</v>
      </c>
      <c r="F11" s="104">
        <v>0.65</v>
      </c>
      <c r="H11" s="4">
        <v>184</v>
      </c>
      <c r="I11" s="4">
        <v>526</v>
      </c>
    </row>
    <row r="12" spans="1:12" x14ac:dyDescent="0.25">
      <c r="A12" s="48" t="s">
        <v>55</v>
      </c>
      <c r="B12" s="66">
        <v>5</v>
      </c>
      <c r="C12" s="8">
        <v>75.56</v>
      </c>
      <c r="D12" s="31">
        <f t="shared" si="0"/>
        <v>1.6543144520910533</v>
      </c>
      <c r="E12" s="38">
        <f t="shared" si="1"/>
        <v>184.26416093170988</v>
      </c>
      <c r="F12" s="104">
        <v>0.65</v>
      </c>
      <c r="H12" s="4">
        <v>184</v>
      </c>
      <c r="I12" s="4">
        <v>526</v>
      </c>
    </row>
    <row r="14" spans="1:12" x14ac:dyDescent="0.25">
      <c r="A14" s="99" t="s">
        <v>30</v>
      </c>
      <c r="B14" s="66">
        <v>5</v>
      </c>
      <c r="C14" s="8">
        <v>0</v>
      </c>
      <c r="D14" s="31" t="e">
        <f t="shared" ref="D14" si="2">B14^3/C14</f>
        <v>#DIV/0!</v>
      </c>
      <c r="E14" s="38">
        <v>0</v>
      </c>
      <c r="F14" s="110">
        <v>0</v>
      </c>
    </row>
    <row r="15" spans="1:12" x14ac:dyDescent="0.25">
      <c r="B15" s="82" t="s">
        <v>88</v>
      </c>
      <c r="C15" s="82" t="s">
        <v>90</v>
      </c>
      <c r="D15" s="82"/>
      <c r="E15" s="82"/>
      <c r="F15" s="105"/>
    </row>
    <row r="16" spans="1:12" x14ac:dyDescent="0.25">
      <c r="L16" s="4" t="s">
        <v>92</v>
      </c>
    </row>
    <row r="17" spans="9:12" x14ac:dyDescent="0.25">
      <c r="L17" s="4" t="s">
        <v>93</v>
      </c>
    </row>
    <row r="18" spans="9:12" x14ac:dyDescent="0.25">
      <c r="I18" s="4" t="s">
        <v>89</v>
      </c>
      <c r="L18" s="4" t="s">
        <v>94</v>
      </c>
    </row>
    <row r="19" spans="9:12" x14ac:dyDescent="0.25">
      <c r="L19" s="4" t="s">
        <v>95</v>
      </c>
    </row>
  </sheetData>
  <phoneticPr fontId="28" type="noConversion"/>
  <conditionalFormatting sqref="B4:B11">
    <cfRule type="cellIs" dxfId="8" priority="3" operator="lessThan">
      <formula>9</formula>
    </cfRule>
  </conditionalFormatting>
  <conditionalFormatting sqref="B12">
    <cfRule type="cellIs" dxfId="7" priority="2" operator="lessThan">
      <formula>9</formula>
    </cfRule>
  </conditionalFormatting>
  <conditionalFormatting sqref="B14">
    <cfRule type="cellIs" dxfId="6" priority="1" operator="lessThan">
      <formula>9</formula>
    </cfRule>
  </conditionalFormatting>
  <pageMargins left="0.7" right="0.7" top="0.75" bottom="0.75" header="0.3" footer="0.3"/>
  <pageSetup paperSize="9" scale="91"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K17"/>
  <sheetViews>
    <sheetView workbookViewId="0">
      <selection activeCell="F4" sqref="F4"/>
    </sheetView>
  </sheetViews>
  <sheetFormatPr defaultColWidth="8.85546875" defaultRowHeight="15" x14ac:dyDescent="0.25"/>
  <cols>
    <col min="1" max="1" width="20.7109375" style="4" customWidth="1"/>
    <col min="2" max="2" width="6" style="4" hidden="1" customWidth="1"/>
    <col min="3" max="3" width="13" style="4" customWidth="1"/>
    <col min="4" max="4" width="0.28515625" style="4" customWidth="1"/>
    <col min="5" max="5" width="0.140625" style="4" customWidth="1"/>
    <col min="6" max="6" width="23.7109375" style="4" customWidth="1"/>
    <col min="7" max="7" width="22.42578125" style="4" bestFit="1" customWidth="1"/>
    <col min="8" max="16384" width="8.85546875" style="4"/>
  </cols>
  <sheetData>
    <row r="1" spans="1:11" ht="21" x14ac:dyDescent="0.25">
      <c r="A1" s="64" t="s">
        <v>74</v>
      </c>
      <c r="B1" s="63"/>
      <c r="C1" s="4" t="s">
        <v>75</v>
      </c>
    </row>
    <row r="2" spans="1:11" ht="15.75" thickBot="1" x14ac:dyDescent="0.3">
      <c r="B2" s="5"/>
    </row>
    <row r="3" spans="1:11" ht="105.75" thickBot="1" x14ac:dyDescent="0.3">
      <c r="A3" s="2" t="s">
        <v>21</v>
      </c>
      <c r="B3" s="34" t="s">
        <v>50</v>
      </c>
      <c r="C3" s="9" t="s">
        <v>45</v>
      </c>
      <c r="D3" s="20" t="s">
        <v>13</v>
      </c>
      <c r="E3" s="3" t="s">
        <v>28</v>
      </c>
      <c r="F3" s="3" t="s">
        <v>22</v>
      </c>
    </row>
    <row r="4" spans="1:11" x14ac:dyDescent="0.25">
      <c r="A4" s="48" t="s">
        <v>60</v>
      </c>
      <c r="B4" s="66">
        <v>5</v>
      </c>
      <c r="C4" s="7">
        <v>78.89</v>
      </c>
      <c r="D4" s="31">
        <f t="shared" ref="D4:D9" si="0">B4^3/C4</f>
        <v>1.5844847255672456</v>
      </c>
      <c r="E4" s="22"/>
      <c r="F4" s="39">
        <f t="shared" ref="F4:F9" si="1">1000*D4/MAX($D$4:$D$9)*(1-E4)</f>
        <v>989.73253897832433</v>
      </c>
      <c r="G4" s="55"/>
    </row>
    <row r="5" spans="1:11" x14ac:dyDescent="0.25">
      <c r="A5" s="48" t="s">
        <v>56</v>
      </c>
      <c r="B5" s="66">
        <v>5</v>
      </c>
      <c r="C5" s="8">
        <v>149.74</v>
      </c>
      <c r="D5" s="31">
        <f t="shared" si="0"/>
        <v>0.83478028582876984</v>
      </c>
      <c r="E5" s="22"/>
      <c r="F5" s="39">
        <f t="shared" si="1"/>
        <v>521.43715774008274</v>
      </c>
      <c r="G5" s="55"/>
    </row>
    <row r="6" spans="1:11" x14ac:dyDescent="0.25">
      <c r="A6" s="48" t="s">
        <v>59</v>
      </c>
      <c r="B6" s="66">
        <v>5</v>
      </c>
      <c r="C6" s="7">
        <v>93.26</v>
      </c>
      <c r="D6" s="31">
        <f t="shared" si="0"/>
        <v>1.34033883765816</v>
      </c>
      <c r="E6" s="22"/>
      <c r="F6" s="39">
        <f t="shared" si="1"/>
        <v>837.229251554793</v>
      </c>
    </row>
    <row r="7" spans="1:11" x14ac:dyDescent="0.25">
      <c r="A7" s="48" t="s">
        <v>58</v>
      </c>
      <c r="B7" s="66">
        <v>5</v>
      </c>
      <c r="C7" s="7">
        <v>95.48</v>
      </c>
      <c r="D7" s="31">
        <f t="shared" si="0"/>
        <v>1.3091746962714703</v>
      </c>
      <c r="E7" s="22"/>
      <c r="F7" s="39">
        <f t="shared" si="1"/>
        <v>817.76288227901125</v>
      </c>
      <c r="J7" s="4">
        <v>818</v>
      </c>
      <c r="K7" s="4">
        <v>863</v>
      </c>
    </row>
    <row r="8" spans="1:11" x14ac:dyDescent="0.25">
      <c r="A8" s="48" t="s">
        <v>61</v>
      </c>
      <c r="B8" s="66">
        <v>5</v>
      </c>
      <c r="C8" s="7">
        <v>78.08</v>
      </c>
      <c r="D8" s="31">
        <f t="shared" si="0"/>
        <v>1.600922131147541</v>
      </c>
      <c r="E8" s="22"/>
      <c r="F8" s="39">
        <f t="shared" si="1"/>
        <v>1000</v>
      </c>
    </row>
    <row r="9" spans="1:11" x14ac:dyDescent="0.25">
      <c r="A9" s="61" t="s">
        <v>57</v>
      </c>
      <c r="B9" s="60">
        <v>5</v>
      </c>
      <c r="C9" s="7">
        <v>149.74</v>
      </c>
      <c r="D9" s="8">
        <f t="shared" si="0"/>
        <v>0.83478028582876984</v>
      </c>
      <c r="E9" s="52">
        <v>0.65</v>
      </c>
      <c r="F9" s="39">
        <f t="shared" si="1"/>
        <v>182.50300520902894</v>
      </c>
      <c r="J9" s="4" t="s">
        <v>96</v>
      </c>
    </row>
    <row r="11" spans="1:11" x14ac:dyDescent="0.25">
      <c r="A11" s="61" t="s">
        <v>30</v>
      </c>
      <c r="B11" s="108"/>
      <c r="C11" s="68">
        <v>0</v>
      </c>
      <c r="D11" s="108">
        <v>0</v>
      </c>
      <c r="E11" s="108">
        <v>0</v>
      </c>
      <c r="F11" s="109">
        <v>0</v>
      </c>
    </row>
    <row r="12" spans="1:11" x14ac:dyDescent="0.25">
      <c r="A12" s="61" t="s">
        <v>55</v>
      </c>
      <c r="B12" s="17"/>
      <c r="C12" s="16">
        <v>0</v>
      </c>
      <c r="D12" s="62"/>
      <c r="E12" s="81"/>
      <c r="F12" s="92">
        <v>0</v>
      </c>
      <c r="G12" s="55" t="s">
        <v>87</v>
      </c>
      <c r="H12" s="55"/>
    </row>
    <row r="13" spans="1:11" x14ac:dyDescent="0.25">
      <c r="A13" s="96" t="s">
        <v>31</v>
      </c>
      <c r="B13" s="88"/>
      <c r="C13" s="47" t="s">
        <v>36</v>
      </c>
      <c r="D13" s="89"/>
      <c r="E13" s="91"/>
      <c r="F13" s="90" t="s">
        <v>36</v>
      </c>
      <c r="G13" s="55"/>
      <c r="H13" s="55"/>
    </row>
    <row r="14" spans="1:11" x14ac:dyDescent="0.25">
      <c r="A14" s="67" t="s">
        <v>10</v>
      </c>
      <c r="B14" s="93"/>
      <c r="C14" s="7" t="s">
        <v>36</v>
      </c>
      <c r="D14" s="31" t="e">
        <f t="shared" ref="D14" si="2">B14^3/C14</f>
        <v>#VALUE!</v>
      </c>
      <c r="E14" s="22"/>
      <c r="F14" s="39" t="s">
        <v>36</v>
      </c>
    </row>
    <row r="15" spans="1:11" x14ac:dyDescent="0.25">
      <c r="B15" s="55"/>
    </row>
    <row r="17" spans="1:2" x14ac:dyDescent="0.25">
      <c r="A17" s="82" t="s">
        <v>90</v>
      </c>
      <c r="B17" s="82"/>
    </row>
  </sheetData>
  <autoFilter ref="A3:F9"/>
  <sortState ref="A4:F11">
    <sortCondition ref="A4:A11"/>
  </sortState>
  <phoneticPr fontId="28" type="noConversion"/>
  <conditionalFormatting sqref="B12:B13 B4:B9">
    <cfRule type="cellIs" dxfId="5" priority="5" operator="lessThan">
      <formula>9</formula>
    </cfRule>
  </conditionalFormatting>
  <conditionalFormatting sqref="B14">
    <cfRule type="cellIs" dxfId="4" priority="3" operator="lessThan">
      <formula>9</formula>
    </cfRule>
  </conditionalFormatting>
  <pageMargins left="0.7" right="0.7" top="0.75" bottom="0.75" header="0.3" footer="0.3"/>
  <pageSetup paperSize="9" scale="91"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16"/>
  <sheetViews>
    <sheetView zoomScale="70" zoomScaleNormal="70" zoomScalePageLayoutView="70" workbookViewId="0">
      <selection activeCell="C6" sqref="C6"/>
    </sheetView>
  </sheetViews>
  <sheetFormatPr defaultColWidth="8.85546875" defaultRowHeight="15" x14ac:dyDescent="0.25"/>
  <cols>
    <col min="1" max="1" width="26.7109375" style="4" bestFit="1" customWidth="1"/>
    <col min="2" max="2" width="19.28515625" style="4" customWidth="1"/>
    <col min="3" max="3" width="15.42578125" style="4" customWidth="1"/>
    <col min="4" max="4" width="29.85546875" style="4" bestFit="1" customWidth="1"/>
    <col min="5" max="5" width="14.42578125" style="4" customWidth="1"/>
    <col min="6" max="6" width="6.7109375" style="4" bestFit="1" customWidth="1"/>
    <col min="7" max="16384" width="8.85546875" style="4"/>
  </cols>
  <sheetData>
    <row r="1" spans="1:7" ht="21" x14ac:dyDescent="0.25">
      <c r="A1" s="345" t="s">
        <v>77</v>
      </c>
      <c r="B1" s="345"/>
      <c r="C1" s="69" t="s">
        <v>40</v>
      </c>
      <c r="D1" s="55"/>
    </row>
    <row r="2" spans="1:7" ht="15.75" thickBot="1" x14ac:dyDescent="0.3">
      <c r="A2" s="55"/>
      <c r="B2" s="56"/>
      <c r="C2" s="55"/>
      <c r="D2" s="55"/>
    </row>
    <row r="3" spans="1:7" ht="15.75" thickBot="1" x14ac:dyDescent="0.3">
      <c r="A3" s="70" t="s">
        <v>21</v>
      </c>
      <c r="B3" s="71" t="s">
        <v>51</v>
      </c>
      <c r="C3" s="72" t="s">
        <v>22</v>
      </c>
      <c r="D3" s="55"/>
    </row>
    <row r="4" spans="1:7" x14ac:dyDescent="0.25">
      <c r="A4" s="16" t="s">
        <v>31</v>
      </c>
      <c r="B4" s="73">
        <v>0</v>
      </c>
      <c r="C4" s="74">
        <f>(B4*50)</f>
        <v>0</v>
      </c>
      <c r="D4" s="55"/>
      <c r="F4" s="4" t="s">
        <v>12</v>
      </c>
      <c r="G4" s="11">
        <v>50</v>
      </c>
    </row>
    <row r="5" spans="1:7" x14ac:dyDescent="0.25">
      <c r="A5" s="61" t="s">
        <v>60</v>
      </c>
      <c r="B5" s="42">
        <v>0</v>
      </c>
      <c r="C5" s="74">
        <v>0</v>
      </c>
      <c r="D5" s="55"/>
    </row>
    <row r="6" spans="1:7" x14ac:dyDescent="0.25">
      <c r="A6" s="61" t="s">
        <v>56</v>
      </c>
      <c r="B6" s="42">
        <v>0</v>
      </c>
      <c r="C6" s="74">
        <f t="shared" ref="C6:C12" si="0">(B6*50)</f>
        <v>0</v>
      </c>
      <c r="D6" s="55"/>
    </row>
    <row r="7" spans="1:7" x14ac:dyDescent="0.25">
      <c r="A7" s="61" t="s">
        <v>59</v>
      </c>
      <c r="B7" s="42">
        <v>4</v>
      </c>
      <c r="C7" s="74">
        <f t="shared" si="0"/>
        <v>200</v>
      </c>
      <c r="D7" s="55"/>
    </row>
    <row r="8" spans="1:7" x14ac:dyDescent="0.25">
      <c r="A8" s="61" t="s">
        <v>58</v>
      </c>
      <c r="B8" s="42">
        <v>0</v>
      </c>
      <c r="C8" s="74">
        <f t="shared" si="0"/>
        <v>0</v>
      </c>
      <c r="D8" s="55"/>
    </row>
    <row r="9" spans="1:7" x14ac:dyDescent="0.25">
      <c r="A9" s="61" t="s">
        <v>61</v>
      </c>
      <c r="B9" s="42">
        <v>2</v>
      </c>
      <c r="C9" s="74">
        <f t="shared" si="0"/>
        <v>100</v>
      </c>
      <c r="D9" s="55"/>
    </row>
    <row r="10" spans="1:7" x14ac:dyDescent="0.25">
      <c r="A10" s="61" t="s">
        <v>57</v>
      </c>
      <c r="B10" s="42">
        <v>0</v>
      </c>
      <c r="C10" s="74">
        <f t="shared" si="0"/>
        <v>0</v>
      </c>
      <c r="D10" s="87" t="s">
        <v>42</v>
      </c>
    </row>
    <row r="11" spans="1:7" x14ac:dyDescent="0.25">
      <c r="A11" s="61" t="s">
        <v>30</v>
      </c>
      <c r="B11" s="42">
        <v>0</v>
      </c>
      <c r="C11" s="74">
        <f t="shared" si="0"/>
        <v>0</v>
      </c>
      <c r="D11" s="55"/>
    </row>
    <row r="12" spans="1:7" x14ac:dyDescent="0.25">
      <c r="A12" s="61" t="s">
        <v>55</v>
      </c>
      <c r="B12" s="42">
        <v>5</v>
      </c>
      <c r="C12" s="74">
        <f t="shared" si="0"/>
        <v>250</v>
      </c>
      <c r="D12" s="55"/>
    </row>
    <row r="13" spans="1:7" x14ac:dyDescent="0.25">
      <c r="A13" s="61"/>
      <c r="B13" s="42"/>
      <c r="C13" s="74"/>
      <c r="D13" s="55"/>
    </row>
    <row r="14" spans="1:7" x14ac:dyDescent="0.25">
      <c r="A14" s="61" t="s">
        <v>10</v>
      </c>
      <c r="B14" s="42" t="s">
        <v>36</v>
      </c>
      <c r="C14" s="74" t="s">
        <v>36</v>
      </c>
      <c r="D14" s="75" t="s">
        <v>73</v>
      </c>
    </row>
    <row r="15" spans="1:7" x14ac:dyDescent="0.25">
      <c r="A15" s="53"/>
      <c r="B15" s="55"/>
      <c r="C15" s="55"/>
      <c r="D15" s="55"/>
    </row>
    <row r="16" spans="1:7" x14ac:dyDescent="0.25">
      <c r="A16" s="51"/>
    </row>
  </sheetData>
  <autoFilter ref="A3:D12"/>
  <sortState ref="A4:D12">
    <sortCondition ref="A4:A12"/>
  </sortState>
  <mergeCells count="1">
    <mergeCell ref="A1:B1"/>
  </mergeCells>
  <phoneticPr fontId="2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K22"/>
  <sheetViews>
    <sheetView zoomScaleNormal="100" workbookViewId="0">
      <selection activeCell="D30" sqref="D30"/>
    </sheetView>
  </sheetViews>
  <sheetFormatPr defaultColWidth="8.85546875" defaultRowHeight="12.75" x14ac:dyDescent="0.2"/>
  <cols>
    <col min="1" max="1" width="18.140625" style="111" bestFit="1" customWidth="1"/>
    <col min="2" max="2" width="10" style="111" bestFit="1" customWidth="1"/>
    <col min="3" max="3" width="10.140625" style="111" bestFit="1" customWidth="1"/>
    <col min="4" max="4" width="9.42578125" style="111" bestFit="1" customWidth="1"/>
    <col min="5" max="5" width="11.28515625" style="111" bestFit="1" customWidth="1"/>
    <col min="6" max="6" width="9.140625" style="111" bestFit="1" customWidth="1"/>
    <col min="7" max="8" width="6.7109375" style="111" customWidth="1"/>
    <col min="9" max="9" width="21.7109375" style="111" bestFit="1" customWidth="1"/>
    <col min="10" max="10" width="6.140625" style="111" bestFit="1" customWidth="1"/>
    <col min="11" max="11" width="6.42578125" style="111" bestFit="1" customWidth="1"/>
    <col min="12" max="16384" width="8.85546875" style="111"/>
  </cols>
  <sheetData>
    <row r="1" spans="1:11" x14ac:dyDescent="0.2">
      <c r="B1" s="112"/>
      <c r="C1" s="113" t="s">
        <v>71</v>
      </c>
      <c r="D1" s="134" t="s">
        <v>114</v>
      </c>
    </row>
    <row r="2" spans="1:11" ht="13.5" thickBot="1" x14ac:dyDescent="0.25">
      <c r="B2" s="112"/>
      <c r="C2" s="112"/>
    </row>
    <row r="3" spans="1:11" ht="39" thickBot="1" x14ac:dyDescent="0.25">
      <c r="A3" s="114" t="s">
        <v>21</v>
      </c>
      <c r="B3" s="115" t="s">
        <v>116</v>
      </c>
      <c r="C3" s="116" t="s">
        <v>117</v>
      </c>
      <c r="D3" s="116" t="s">
        <v>118</v>
      </c>
      <c r="E3" s="46" t="s">
        <v>121</v>
      </c>
      <c r="F3" s="117" t="s">
        <v>119</v>
      </c>
      <c r="G3" s="117" t="s">
        <v>28</v>
      </c>
      <c r="H3" s="117" t="s">
        <v>6</v>
      </c>
      <c r="J3" s="118" t="s">
        <v>32</v>
      </c>
    </row>
    <row r="4" spans="1:11" ht="13.5" thickBot="1" x14ac:dyDescent="0.25">
      <c r="A4" s="137" t="s">
        <v>59</v>
      </c>
      <c r="B4" s="138">
        <v>0.78318287037037038</v>
      </c>
      <c r="C4" s="139">
        <v>0.82378472222222221</v>
      </c>
      <c r="D4" s="140">
        <f t="shared" ref="D4:D19" si="0">C4-B4</f>
        <v>4.0601851851851833E-2</v>
      </c>
      <c r="E4" s="141">
        <v>15</v>
      </c>
      <c r="F4" s="142">
        <f t="shared" ref="F4:F21" si="1">$K$14*E4/MAX($E$4:$E$22)</f>
        <v>1000</v>
      </c>
      <c r="G4" s="136"/>
      <c r="H4" s="143">
        <f t="shared" ref="H4:H22" si="2">F4-F4*G4</f>
        <v>1000</v>
      </c>
      <c r="J4" s="125">
        <v>4.1666666666666664E-2</v>
      </c>
      <c r="K4" s="111" t="s">
        <v>33</v>
      </c>
    </row>
    <row r="5" spans="1:11" x14ac:dyDescent="0.2">
      <c r="A5" s="144" t="s">
        <v>99</v>
      </c>
      <c r="B5" s="119">
        <v>0.78122685185185192</v>
      </c>
      <c r="C5" s="120">
        <v>0.82081018518518523</v>
      </c>
      <c r="D5" s="121">
        <f t="shared" si="0"/>
        <v>3.9583333333333304E-2</v>
      </c>
      <c r="E5" s="122">
        <v>15</v>
      </c>
      <c r="F5" s="123">
        <f t="shared" si="1"/>
        <v>1000</v>
      </c>
      <c r="G5" s="136"/>
      <c r="H5" s="124">
        <f t="shared" si="2"/>
        <v>1000</v>
      </c>
      <c r="J5" s="126"/>
    </row>
    <row r="6" spans="1:11" x14ac:dyDescent="0.2">
      <c r="A6" s="144" t="s">
        <v>104</v>
      </c>
      <c r="B6" s="119">
        <v>0.78123842592592585</v>
      </c>
      <c r="C6" s="120">
        <v>0.82459490740740737</v>
      </c>
      <c r="D6" s="121">
        <f t="shared" si="0"/>
        <v>4.3356481481481524E-2</v>
      </c>
      <c r="E6" s="122">
        <v>15</v>
      </c>
      <c r="F6" s="123">
        <f t="shared" si="1"/>
        <v>1000</v>
      </c>
      <c r="G6" s="136"/>
      <c r="H6" s="124">
        <f t="shared" si="2"/>
        <v>1000</v>
      </c>
      <c r="J6" s="126"/>
    </row>
    <row r="7" spans="1:11" x14ac:dyDescent="0.2">
      <c r="A7" s="144" t="s">
        <v>107</v>
      </c>
      <c r="B7" s="119">
        <v>0.78016203703703713</v>
      </c>
      <c r="C7" s="120">
        <v>0.81972222222222213</v>
      </c>
      <c r="D7" s="121">
        <f t="shared" si="0"/>
        <v>3.9560185185185004E-2</v>
      </c>
      <c r="E7" s="122">
        <v>13</v>
      </c>
      <c r="F7" s="123">
        <f t="shared" si="1"/>
        <v>866.66666666666663</v>
      </c>
      <c r="G7" s="136"/>
      <c r="H7" s="124">
        <f t="shared" si="2"/>
        <v>866.66666666666663</v>
      </c>
      <c r="J7" s="126"/>
    </row>
    <row r="8" spans="1:11" x14ac:dyDescent="0.2">
      <c r="A8" s="144" t="s">
        <v>103</v>
      </c>
      <c r="B8" s="119">
        <v>0.78303240740740743</v>
      </c>
      <c r="C8" s="120">
        <v>0.82542824074074073</v>
      </c>
      <c r="D8" s="121">
        <f t="shared" si="0"/>
        <v>4.2395833333333299E-2</v>
      </c>
      <c r="E8" s="122">
        <v>13</v>
      </c>
      <c r="F8" s="123">
        <f t="shared" si="1"/>
        <v>866.66666666666663</v>
      </c>
      <c r="G8" s="136"/>
      <c r="H8" s="124">
        <f t="shared" si="2"/>
        <v>866.66666666666663</v>
      </c>
      <c r="J8" s="126"/>
    </row>
    <row r="9" spans="1:11" x14ac:dyDescent="0.2">
      <c r="A9" s="144" t="s">
        <v>105</v>
      </c>
      <c r="B9" s="119">
        <v>0.76785879629629628</v>
      </c>
      <c r="C9" s="120">
        <v>0.81003472222222228</v>
      </c>
      <c r="D9" s="121">
        <f t="shared" si="0"/>
        <v>4.2175925925926006E-2</v>
      </c>
      <c r="E9" s="122">
        <v>13</v>
      </c>
      <c r="F9" s="123">
        <f t="shared" si="1"/>
        <v>866.66666666666663</v>
      </c>
      <c r="G9" s="136"/>
      <c r="H9" s="124">
        <f t="shared" si="2"/>
        <v>866.66666666666663</v>
      </c>
      <c r="J9" s="126"/>
    </row>
    <row r="10" spans="1:11" x14ac:dyDescent="0.2">
      <c r="A10" s="144" t="s">
        <v>100</v>
      </c>
      <c r="B10" s="119">
        <v>0.78115740740740736</v>
      </c>
      <c r="C10" s="120">
        <v>0.82340277777777782</v>
      </c>
      <c r="D10" s="121">
        <f t="shared" si="0"/>
        <v>4.2245370370370461E-2</v>
      </c>
      <c r="E10" s="122">
        <v>12</v>
      </c>
      <c r="F10" s="123">
        <f t="shared" si="1"/>
        <v>800</v>
      </c>
      <c r="G10" s="136"/>
      <c r="H10" s="124">
        <f t="shared" si="2"/>
        <v>800</v>
      </c>
      <c r="I10" s="135"/>
      <c r="J10" s="126"/>
    </row>
    <row r="11" spans="1:11" x14ac:dyDescent="0.2">
      <c r="A11" s="144" t="s">
        <v>108</v>
      </c>
      <c r="B11" s="119">
        <v>0.78271990740740749</v>
      </c>
      <c r="C11" s="120">
        <v>0.81731481481481483</v>
      </c>
      <c r="D11" s="121">
        <f t="shared" si="0"/>
        <v>3.4594907407407338E-2</v>
      </c>
      <c r="E11" s="122">
        <v>10</v>
      </c>
      <c r="F11" s="123">
        <f t="shared" si="1"/>
        <v>666.66666666666663</v>
      </c>
      <c r="G11" s="136"/>
      <c r="H11" s="124">
        <f t="shared" si="2"/>
        <v>666.66666666666663</v>
      </c>
      <c r="J11" s="126"/>
    </row>
    <row r="12" spans="1:11" x14ac:dyDescent="0.2">
      <c r="A12" s="144" t="s">
        <v>113</v>
      </c>
      <c r="B12" s="119">
        <v>0.7759490740740741</v>
      </c>
      <c r="C12" s="120">
        <v>0.81805555555555554</v>
      </c>
      <c r="D12" s="121">
        <f t="shared" si="0"/>
        <v>4.2106481481481439E-2</v>
      </c>
      <c r="E12" s="122">
        <v>10</v>
      </c>
      <c r="F12" s="123">
        <f t="shared" si="1"/>
        <v>666.66666666666663</v>
      </c>
      <c r="G12" s="136"/>
      <c r="H12" s="124">
        <f t="shared" si="2"/>
        <v>666.66666666666663</v>
      </c>
      <c r="J12" s="126"/>
    </row>
    <row r="13" spans="1:11" x14ac:dyDescent="0.2">
      <c r="A13" s="144" t="s">
        <v>109</v>
      </c>
      <c r="B13" s="119">
        <v>0.78265046296296292</v>
      </c>
      <c r="C13" s="120">
        <v>0.81710648148148157</v>
      </c>
      <c r="D13" s="121">
        <f t="shared" si="0"/>
        <v>3.445601851851865E-2</v>
      </c>
      <c r="E13" s="122">
        <v>8</v>
      </c>
      <c r="F13" s="123">
        <f t="shared" si="1"/>
        <v>533.33333333333337</v>
      </c>
      <c r="G13" s="136"/>
      <c r="H13" s="124">
        <f t="shared" si="2"/>
        <v>533.33333333333337</v>
      </c>
    </row>
    <row r="14" spans="1:11" x14ac:dyDescent="0.2">
      <c r="A14" s="144" t="s">
        <v>112</v>
      </c>
      <c r="B14" s="127">
        <v>0.7805671296296296</v>
      </c>
      <c r="C14" s="128">
        <v>0.82466435185185183</v>
      </c>
      <c r="D14" s="129">
        <f t="shared" si="0"/>
        <v>4.4097222222222232E-2</v>
      </c>
      <c r="E14" s="130">
        <v>10</v>
      </c>
      <c r="F14" s="123">
        <f t="shared" si="1"/>
        <v>666.66666666666663</v>
      </c>
      <c r="G14" s="136">
        <v>0.2</v>
      </c>
      <c r="H14" s="131">
        <f t="shared" si="2"/>
        <v>533.33333333333326</v>
      </c>
      <c r="I14" s="111" t="s">
        <v>120</v>
      </c>
      <c r="J14" s="111" t="s">
        <v>12</v>
      </c>
      <c r="K14" s="132">
        <v>1000</v>
      </c>
    </row>
    <row r="15" spans="1:11" x14ac:dyDescent="0.2">
      <c r="A15" s="144" t="s">
        <v>101</v>
      </c>
      <c r="B15" s="127">
        <v>0.79925925925925922</v>
      </c>
      <c r="C15" s="128">
        <v>0.83526620370370364</v>
      </c>
      <c r="D15" s="129">
        <f t="shared" si="0"/>
        <v>3.6006944444444411E-2</v>
      </c>
      <c r="E15" s="130">
        <v>9</v>
      </c>
      <c r="F15" s="123">
        <f t="shared" si="1"/>
        <v>600</v>
      </c>
      <c r="G15" s="136">
        <v>0.2</v>
      </c>
      <c r="H15" s="131">
        <f t="shared" si="2"/>
        <v>480</v>
      </c>
      <c r="I15" s="111" t="s">
        <v>120</v>
      </c>
    </row>
    <row r="16" spans="1:11" x14ac:dyDescent="0.2">
      <c r="A16" s="144" t="s">
        <v>56</v>
      </c>
      <c r="B16" s="127">
        <v>0.77876157407407398</v>
      </c>
      <c r="C16" s="128">
        <v>0.81763888888888892</v>
      </c>
      <c r="D16" s="129">
        <f t="shared" si="0"/>
        <v>3.8877314814814934E-2</v>
      </c>
      <c r="E16" s="130">
        <v>7</v>
      </c>
      <c r="F16" s="123">
        <f t="shared" si="1"/>
        <v>466.66666666666669</v>
      </c>
      <c r="G16" s="136"/>
      <c r="H16" s="131">
        <f t="shared" si="2"/>
        <v>466.66666666666669</v>
      </c>
    </row>
    <row r="17" spans="1:9" x14ac:dyDescent="0.2">
      <c r="A17" s="144" t="s">
        <v>102</v>
      </c>
      <c r="B17" s="127">
        <v>0.77094907407407398</v>
      </c>
      <c r="C17" s="128">
        <v>0.80349537037037033</v>
      </c>
      <c r="D17" s="133">
        <f t="shared" si="0"/>
        <v>3.2546296296296351E-2</v>
      </c>
      <c r="E17" s="130">
        <v>7</v>
      </c>
      <c r="F17" s="123">
        <f t="shared" si="1"/>
        <v>466.66666666666669</v>
      </c>
      <c r="G17" s="136"/>
      <c r="H17" s="131">
        <f t="shared" si="2"/>
        <v>466.66666666666669</v>
      </c>
    </row>
    <row r="18" spans="1:9" x14ac:dyDescent="0.2">
      <c r="A18" s="144" t="s">
        <v>111</v>
      </c>
      <c r="B18" s="127">
        <v>0.78410879629629626</v>
      </c>
      <c r="C18" s="128">
        <v>0.82597222222222222</v>
      </c>
      <c r="D18" s="129">
        <f t="shared" si="0"/>
        <v>4.1863425925925957E-2</v>
      </c>
      <c r="E18" s="130">
        <v>6</v>
      </c>
      <c r="F18" s="123">
        <f t="shared" si="1"/>
        <v>400</v>
      </c>
      <c r="G18" s="136"/>
      <c r="H18" s="131">
        <f t="shared" si="2"/>
        <v>400</v>
      </c>
    </row>
    <row r="19" spans="1:9" x14ac:dyDescent="0.2">
      <c r="A19" s="144" t="s">
        <v>110</v>
      </c>
      <c r="B19" s="127">
        <v>0.78400462962962969</v>
      </c>
      <c r="C19" s="128">
        <v>0.81670138888888888</v>
      </c>
      <c r="D19" s="129">
        <f t="shared" si="0"/>
        <v>3.2696759259259189E-2</v>
      </c>
      <c r="E19" s="130">
        <v>6</v>
      </c>
      <c r="F19" s="123">
        <f t="shared" si="1"/>
        <v>400</v>
      </c>
      <c r="G19" s="136">
        <v>0.2</v>
      </c>
      <c r="H19" s="131">
        <f t="shared" si="2"/>
        <v>320</v>
      </c>
      <c r="I19" s="111" t="s">
        <v>120</v>
      </c>
    </row>
    <row r="20" spans="1:9" x14ac:dyDescent="0.2">
      <c r="A20" s="144" t="s">
        <v>97</v>
      </c>
      <c r="B20" s="119">
        <v>0</v>
      </c>
      <c r="C20" s="120" t="s">
        <v>36</v>
      </c>
      <c r="D20" s="121"/>
      <c r="E20" s="122">
        <v>4</v>
      </c>
      <c r="F20" s="123">
        <f t="shared" si="1"/>
        <v>266.66666666666669</v>
      </c>
      <c r="G20" s="136">
        <v>0.2</v>
      </c>
      <c r="H20" s="124">
        <f t="shared" si="2"/>
        <v>213.33333333333334</v>
      </c>
      <c r="I20" s="111" t="s">
        <v>98</v>
      </c>
    </row>
    <row r="21" spans="1:9" x14ac:dyDescent="0.2">
      <c r="A21" s="144" t="s">
        <v>106</v>
      </c>
      <c r="B21" s="119">
        <v>0.76640046296296294</v>
      </c>
      <c r="C21" s="120" t="s">
        <v>36</v>
      </c>
      <c r="D21" s="121"/>
      <c r="E21" s="122">
        <v>3</v>
      </c>
      <c r="F21" s="123">
        <f t="shared" si="1"/>
        <v>200</v>
      </c>
      <c r="G21" s="136">
        <v>0.2</v>
      </c>
      <c r="H21" s="124">
        <f t="shared" si="2"/>
        <v>160</v>
      </c>
      <c r="I21" s="111" t="s">
        <v>98</v>
      </c>
    </row>
    <row r="22" spans="1:9" ht="13.5" thickBot="1" x14ac:dyDescent="0.25">
      <c r="A22" s="145" t="s">
        <v>58</v>
      </c>
      <c r="B22" s="146">
        <v>0</v>
      </c>
      <c r="C22" s="147">
        <v>0</v>
      </c>
      <c r="D22" s="148">
        <f>C22-B22</f>
        <v>0</v>
      </c>
      <c r="E22" s="149">
        <v>13</v>
      </c>
      <c r="F22" s="150">
        <v>0</v>
      </c>
      <c r="G22" s="136"/>
      <c r="H22" s="151">
        <f t="shared" si="2"/>
        <v>0</v>
      </c>
      <c r="I22" s="111" t="s">
        <v>115</v>
      </c>
    </row>
  </sheetData>
  <sortState ref="A4:I22">
    <sortCondition descending="1" ref="H4:H22"/>
  </sortState>
  <phoneticPr fontId="28" type="noConversion"/>
  <pageMargins left="0.70866141732283472" right="0.70866141732283472" top="0.74803149606299213" bottom="0.74803149606299213" header="0.31496062992125984" footer="0.31496062992125984"/>
  <pageSetup scale="74" orientation="portrait" verticalDpi="0" r:id="rId1"/>
  <headerFooter>
    <oddHeader>&amp;C&amp;A&amp;R&amp;D &amp;T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G17"/>
  <sheetViews>
    <sheetView workbookViewId="0">
      <selection activeCell="G11" sqref="G11"/>
    </sheetView>
  </sheetViews>
  <sheetFormatPr defaultColWidth="8.85546875" defaultRowHeight="15" x14ac:dyDescent="0.25"/>
  <cols>
    <col min="1" max="1" width="20.7109375" style="4" customWidth="1"/>
    <col min="2" max="2" width="0.140625" style="4" customWidth="1"/>
    <col min="3" max="3" width="15.7109375" style="4" customWidth="1"/>
    <col min="4" max="5" width="0.28515625" style="4" customWidth="1"/>
    <col min="6" max="6" width="23.7109375" style="4" customWidth="1"/>
    <col min="7" max="7" width="22.42578125" style="4" bestFit="1" customWidth="1"/>
    <col min="8" max="16384" width="8.85546875" style="4"/>
  </cols>
  <sheetData>
    <row r="1" spans="1:7" ht="24.75" x14ac:dyDescent="0.4">
      <c r="A1" s="106" t="s">
        <v>8</v>
      </c>
      <c r="B1" s="63" t="s">
        <v>78</v>
      </c>
      <c r="C1" s="4" t="s">
        <v>75</v>
      </c>
    </row>
    <row r="2" spans="1:7" ht="15.75" thickBot="1" x14ac:dyDescent="0.3">
      <c r="B2" s="5"/>
    </row>
    <row r="3" spans="1:7" ht="105.75" thickBot="1" x14ac:dyDescent="0.3">
      <c r="A3" s="2" t="s">
        <v>21</v>
      </c>
      <c r="B3" s="34" t="s">
        <v>50</v>
      </c>
      <c r="C3" s="9" t="s">
        <v>45</v>
      </c>
      <c r="D3" s="20" t="s">
        <v>13</v>
      </c>
      <c r="E3" s="3" t="s">
        <v>28</v>
      </c>
      <c r="F3" s="3" t="s">
        <v>22</v>
      </c>
    </row>
    <row r="4" spans="1:7" x14ac:dyDescent="0.25">
      <c r="A4" s="48" t="s">
        <v>31</v>
      </c>
      <c r="B4" s="65">
        <v>5</v>
      </c>
      <c r="C4" s="100">
        <v>65.45</v>
      </c>
      <c r="D4" s="30">
        <f t="shared" ref="D4:D12" si="0">B4^3/C4</f>
        <v>1.9098548510313216</v>
      </c>
      <c r="E4" s="21">
        <v>0.65</v>
      </c>
      <c r="F4" s="38">
        <f t="shared" ref="F4:F12" si="1">1000*D4/MAX($D$4:$D$10)*(1-E4)</f>
        <v>213.63636363636363</v>
      </c>
      <c r="G4" s="55"/>
    </row>
    <row r="5" spans="1:7" x14ac:dyDescent="0.25">
      <c r="A5" s="48" t="s">
        <v>60</v>
      </c>
      <c r="B5" s="66">
        <v>5</v>
      </c>
      <c r="C5" s="7">
        <v>39.950000000000003</v>
      </c>
      <c r="D5" s="31">
        <f t="shared" si="0"/>
        <v>3.1289111389236544</v>
      </c>
      <c r="E5" s="22"/>
      <c r="F5" s="39">
        <f t="shared" si="1"/>
        <v>1000.0000000000001</v>
      </c>
      <c r="G5" s="55"/>
    </row>
    <row r="6" spans="1:7" x14ac:dyDescent="0.25">
      <c r="A6" s="48" t="s">
        <v>56</v>
      </c>
      <c r="B6" s="66">
        <v>5</v>
      </c>
      <c r="C6" s="8">
        <v>65.45</v>
      </c>
      <c r="D6" s="31">
        <f t="shared" si="0"/>
        <v>1.9098548510313216</v>
      </c>
      <c r="E6" s="22"/>
      <c r="F6" s="39">
        <f t="shared" si="1"/>
        <v>610.38961038961043</v>
      </c>
      <c r="G6" s="55"/>
    </row>
    <row r="7" spans="1:7" x14ac:dyDescent="0.25">
      <c r="A7" s="48" t="s">
        <v>59</v>
      </c>
      <c r="B7" s="66">
        <v>5</v>
      </c>
      <c r="C7" s="7">
        <v>41.37</v>
      </c>
      <c r="D7" s="31">
        <f t="shared" si="0"/>
        <v>3.0215131737974379</v>
      </c>
      <c r="E7" s="22"/>
      <c r="F7" s="39">
        <f t="shared" si="1"/>
        <v>965.6756103456612</v>
      </c>
      <c r="G7" s="45"/>
    </row>
    <row r="8" spans="1:7" x14ac:dyDescent="0.25">
      <c r="A8" s="48" t="s">
        <v>58</v>
      </c>
      <c r="B8" s="66">
        <v>5</v>
      </c>
      <c r="C8" s="7">
        <v>46.48</v>
      </c>
      <c r="D8" s="31">
        <f t="shared" si="0"/>
        <v>2.689328743545611</v>
      </c>
      <c r="E8" s="22"/>
      <c r="F8" s="39">
        <f t="shared" si="1"/>
        <v>859.50946643717725</v>
      </c>
    </row>
    <row r="9" spans="1:7" x14ac:dyDescent="0.25">
      <c r="A9" s="48" t="s">
        <v>61</v>
      </c>
      <c r="B9" s="66">
        <v>5</v>
      </c>
      <c r="C9" s="7">
        <v>40.26</v>
      </c>
      <c r="D9" s="31">
        <f t="shared" si="0"/>
        <v>3.1048186785891705</v>
      </c>
      <c r="E9" s="22"/>
      <c r="F9" s="39">
        <f t="shared" si="1"/>
        <v>992.30004967709885</v>
      </c>
    </row>
    <row r="10" spans="1:7" x14ac:dyDescent="0.25">
      <c r="A10" s="48" t="s">
        <v>57</v>
      </c>
      <c r="B10" s="66">
        <v>5</v>
      </c>
      <c r="C10" s="8">
        <v>42.36</v>
      </c>
      <c r="D10" s="31">
        <f t="shared" si="0"/>
        <v>2.950897072710104</v>
      </c>
      <c r="E10" s="22"/>
      <c r="F10" s="39">
        <f t="shared" si="1"/>
        <v>943.10670443814934</v>
      </c>
    </row>
    <row r="11" spans="1:7" x14ac:dyDescent="0.25">
      <c r="A11" s="48" t="s">
        <v>30</v>
      </c>
      <c r="B11" s="66">
        <v>5</v>
      </c>
      <c r="C11" s="16">
        <v>65.45</v>
      </c>
      <c r="D11" s="31">
        <f t="shared" si="0"/>
        <v>1.9098548510313216</v>
      </c>
      <c r="E11" s="22">
        <v>0.65</v>
      </c>
      <c r="F11" s="39">
        <f t="shared" si="1"/>
        <v>213.63636363636363</v>
      </c>
    </row>
    <row r="12" spans="1:7" x14ac:dyDescent="0.25">
      <c r="A12" s="48" t="s">
        <v>55</v>
      </c>
      <c r="B12" s="66">
        <v>5</v>
      </c>
      <c r="C12" s="7">
        <v>49.53</v>
      </c>
      <c r="D12" s="31">
        <f t="shared" si="0"/>
        <v>2.5237229961639409</v>
      </c>
      <c r="E12" s="22"/>
      <c r="F12" s="39">
        <f t="shared" si="1"/>
        <v>806.58186957399562</v>
      </c>
    </row>
    <row r="13" spans="1:7" x14ac:dyDescent="0.25">
      <c r="A13" s="86"/>
      <c r="B13" s="93"/>
      <c r="C13" s="95"/>
      <c r="D13" s="83"/>
      <c r="E13" s="84"/>
      <c r="F13" s="85"/>
      <c r="G13" s="55"/>
    </row>
    <row r="14" spans="1:7" x14ac:dyDescent="0.25">
      <c r="A14" s="67" t="s">
        <v>10</v>
      </c>
      <c r="B14" s="66">
        <v>5</v>
      </c>
      <c r="C14" s="7" t="s">
        <v>36</v>
      </c>
      <c r="D14" s="31" t="e">
        <f t="shared" ref="D14" si="2">B14^3/C14</f>
        <v>#VALUE!</v>
      </c>
      <c r="E14" s="22"/>
      <c r="F14" s="39" t="s">
        <v>36</v>
      </c>
    </row>
    <row r="17" spans="1:2" x14ac:dyDescent="0.25">
      <c r="A17" s="82" t="s">
        <v>90</v>
      </c>
      <c r="B17" s="82"/>
    </row>
  </sheetData>
  <autoFilter ref="A3:F12"/>
  <sortState ref="A4:F12">
    <sortCondition ref="A4:A12"/>
  </sortState>
  <phoneticPr fontId="28" type="noConversion"/>
  <conditionalFormatting sqref="B4:B10">
    <cfRule type="cellIs" dxfId="3" priority="4" operator="lessThan">
      <formula>9</formula>
    </cfRule>
  </conditionalFormatting>
  <conditionalFormatting sqref="B12:B13">
    <cfRule type="cellIs" dxfId="2" priority="3" operator="lessThan">
      <formula>9</formula>
    </cfRule>
  </conditionalFormatting>
  <conditionalFormatting sqref="B14">
    <cfRule type="cellIs" dxfId="1" priority="2" operator="lessThan">
      <formula>9</formula>
    </cfRule>
  </conditionalFormatting>
  <conditionalFormatting sqref="B11">
    <cfRule type="cellIs" dxfId="0" priority="1" operator="lessThan">
      <formula>9</formula>
    </cfRule>
  </conditionalFormatting>
  <pageMargins left="0.7" right="0.7" top="0.75" bottom="0.75" header="0.3" footer="0.3"/>
  <pageSetup paperSize="9" scale="91"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H20"/>
  <sheetViews>
    <sheetView topLeftCell="A2" workbookViewId="0">
      <selection activeCell="C5" sqref="C5"/>
    </sheetView>
  </sheetViews>
  <sheetFormatPr defaultColWidth="8.85546875" defaultRowHeight="15" x14ac:dyDescent="0.25"/>
  <cols>
    <col min="1" max="1" width="26.7109375" style="4" bestFit="1" customWidth="1"/>
    <col min="2" max="2" width="18" style="4" customWidth="1"/>
    <col min="3" max="3" width="15.42578125" style="4" bestFit="1" customWidth="1"/>
    <col min="4" max="4" width="32.42578125" style="4" customWidth="1"/>
    <col min="5" max="5" width="14.85546875" style="4" customWidth="1"/>
    <col min="6" max="6" width="6.7109375" style="4" bestFit="1" customWidth="1"/>
    <col min="7" max="7" width="5" style="4" customWidth="1"/>
    <col min="8" max="8" width="13.7109375" style="4" bestFit="1" customWidth="1"/>
    <col min="9" max="16384" width="8.85546875" style="4"/>
  </cols>
  <sheetData>
    <row r="1" spans="1:8" x14ac:dyDescent="0.25">
      <c r="B1" s="12" t="s">
        <v>24</v>
      </c>
      <c r="C1" s="4" t="s">
        <v>37</v>
      </c>
    </row>
    <row r="2" spans="1:8" ht="21.75" thickBot="1" x14ac:dyDescent="0.4">
      <c r="A2" s="344" t="s">
        <v>76</v>
      </c>
      <c r="B2" s="344"/>
    </row>
    <row r="3" spans="1:8" ht="15.75" thickBot="1" x14ac:dyDescent="0.3">
      <c r="A3" s="26" t="s">
        <v>21</v>
      </c>
      <c r="B3" s="27" t="s">
        <v>25</v>
      </c>
      <c r="C3" s="28" t="s">
        <v>22</v>
      </c>
      <c r="F3" s="55"/>
      <c r="G3" s="55"/>
      <c r="H3" s="56"/>
    </row>
    <row r="4" spans="1:8" ht="15.75" thickBot="1" x14ac:dyDescent="0.3">
      <c r="A4" s="49" t="s">
        <v>31</v>
      </c>
      <c r="B4" s="23">
        <v>4</v>
      </c>
      <c r="C4" s="10">
        <v>0</v>
      </c>
      <c r="D4" s="24"/>
      <c r="F4" s="55"/>
      <c r="G4" s="55"/>
      <c r="H4" s="57"/>
    </row>
    <row r="5" spans="1:8" ht="15.75" thickBot="1" x14ac:dyDescent="0.3">
      <c r="A5" s="48" t="s">
        <v>60</v>
      </c>
      <c r="B5" s="17">
        <v>4</v>
      </c>
      <c r="C5" s="10">
        <v>0</v>
      </c>
      <c r="D5" s="25"/>
    </row>
    <row r="6" spans="1:8" ht="15.75" thickBot="1" x14ac:dyDescent="0.3">
      <c r="A6" s="48" t="s">
        <v>56</v>
      </c>
      <c r="B6" s="17">
        <v>3</v>
      </c>
      <c r="C6" s="10">
        <v>50</v>
      </c>
      <c r="D6" s="25"/>
    </row>
    <row r="7" spans="1:8" ht="15.75" thickBot="1" x14ac:dyDescent="0.3">
      <c r="A7" s="48" t="s">
        <v>59</v>
      </c>
      <c r="B7" s="17">
        <v>4</v>
      </c>
      <c r="C7" s="10">
        <v>0</v>
      </c>
      <c r="D7" s="25"/>
    </row>
    <row r="8" spans="1:8" ht="15.75" thickBot="1" x14ac:dyDescent="0.3">
      <c r="A8" s="48" t="s">
        <v>58</v>
      </c>
      <c r="B8" s="17">
        <v>0</v>
      </c>
      <c r="C8" s="10">
        <v>250</v>
      </c>
      <c r="D8" s="97" t="s">
        <v>42</v>
      </c>
    </row>
    <row r="9" spans="1:8" ht="15.75" thickBot="1" x14ac:dyDescent="0.3">
      <c r="A9" s="48" t="s">
        <v>61</v>
      </c>
      <c r="B9" s="17">
        <v>0</v>
      </c>
      <c r="C9" s="10">
        <v>250</v>
      </c>
      <c r="D9" s="25"/>
    </row>
    <row r="10" spans="1:8" ht="15.75" thickBot="1" x14ac:dyDescent="0.3">
      <c r="A10" s="48" t="s">
        <v>57</v>
      </c>
      <c r="B10" s="14">
        <v>1</v>
      </c>
      <c r="C10" s="10">
        <v>175</v>
      </c>
      <c r="D10" s="97"/>
    </row>
    <row r="11" spans="1:8" ht="15.75" thickBot="1" x14ac:dyDescent="0.3">
      <c r="A11" s="48" t="s">
        <v>30</v>
      </c>
      <c r="B11" s="7">
        <v>4</v>
      </c>
      <c r="C11" s="10">
        <v>0</v>
      </c>
      <c r="D11" s="25"/>
    </row>
    <row r="12" spans="1:8" x14ac:dyDescent="0.25">
      <c r="A12" s="48" t="s">
        <v>55</v>
      </c>
      <c r="B12" s="17">
        <v>4</v>
      </c>
      <c r="C12" s="80">
        <v>0</v>
      </c>
      <c r="D12" s="25"/>
    </row>
    <row r="13" spans="1:8" ht="15.75" thickBot="1" x14ac:dyDescent="0.3"/>
    <row r="14" spans="1:8" x14ac:dyDescent="0.25">
      <c r="A14" s="48" t="s">
        <v>10</v>
      </c>
      <c r="B14" s="14" t="s">
        <v>36</v>
      </c>
      <c r="C14" s="10" t="s">
        <v>36</v>
      </c>
      <c r="D14" s="25"/>
    </row>
    <row r="15" spans="1:8" x14ac:dyDescent="0.25">
      <c r="A15" s="76"/>
      <c r="B15" s="77"/>
      <c r="C15" s="78"/>
      <c r="D15" s="79"/>
    </row>
    <row r="16" spans="1:8" x14ac:dyDescent="0.25">
      <c r="A16" s="54" t="s">
        <v>64</v>
      </c>
    </row>
    <row r="17" spans="1:1" x14ac:dyDescent="0.25">
      <c r="A17" s="54" t="s">
        <v>65</v>
      </c>
    </row>
    <row r="18" spans="1:1" x14ac:dyDescent="0.25">
      <c r="A18" s="54" t="s">
        <v>66</v>
      </c>
    </row>
    <row r="19" spans="1:1" x14ac:dyDescent="0.25">
      <c r="A19" s="54" t="s">
        <v>67</v>
      </c>
    </row>
    <row r="20" spans="1:1" x14ac:dyDescent="0.25">
      <c r="A20" s="54" t="s">
        <v>68</v>
      </c>
    </row>
  </sheetData>
  <autoFilter ref="A3:D12"/>
  <sortState ref="A4:D12">
    <sortCondition ref="A4:A12"/>
  </sortState>
  <mergeCells count="1">
    <mergeCell ref="A2:B2"/>
  </mergeCells>
  <phoneticPr fontId="28" type="noConversion"/>
  <pageMargins left="0.7" right="0.7" top="0.75" bottom="0.75" header="0.3" footer="0.3"/>
  <colBreaks count="1" manualBreakCount="1">
    <brk id="4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B1:S11"/>
  <sheetViews>
    <sheetView workbookViewId="0">
      <selection activeCell="M21" sqref="M21"/>
    </sheetView>
  </sheetViews>
  <sheetFormatPr defaultColWidth="8.85546875" defaultRowHeight="12.75" x14ac:dyDescent="0.2"/>
  <cols>
    <col min="1" max="1" width="8.85546875" style="111"/>
    <col min="2" max="2" width="18" style="111" bestFit="1" customWidth="1"/>
    <col min="3" max="3" width="8" style="111" bestFit="1" customWidth="1"/>
    <col min="4" max="4" width="11" style="111" bestFit="1" customWidth="1"/>
    <col min="5" max="5" width="9.140625" style="111" bestFit="1" customWidth="1"/>
    <col min="6" max="6" width="9" style="187" bestFit="1" customWidth="1"/>
    <col min="7" max="8" width="9.42578125" style="111" bestFit="1" customWidth="1"/>
    <col min="9" max="9" width="8.140625" style="111" bestFit="1" customWidth="1"/>
    <col min="10" max="11" width="10" style="111" bestFit="1" customWidth="1"/>
    <col min="12" max="12" width="8.140625" style="111" bestFit="1" customWidth="1"/>
    <col min="13" max="13" width="9.5703125" style="187" bestFit="1" customWidth="1"/>
    <col min="14" max="14" width="9" style="187" bestFit="1" customWidth="1"/>
    <col min="15" max="15" width="8.140625" style="111" bestFit="1" customWidth="1"/>
    <col min="16" max="17" width="9.28515625" style="187" bestFit="1" customWidth="1"/>
    <col min="18" max="18" width="8" style="235" bestFit="1" customWidth="1"/>
    <col min="19" max="19" width="5.42578125" style="111" bestFit="1" customWidth="1"/>
    <col min="20" max="16384" width="8.85546875" style="111"/>
  </cols>
  <sheetData>
    <row r="1" spans="2:19" x14ac:dyDescent="0.2">
      <c r="C1" s="214" t="s">
        <v>34</v>
      </c>
      <c r="D1" s="111" t="s">
        <v>41</v>
      </c>
    </row>
    <row r="2" spans="2:19" ht="13.5" thickBot="1" x14ac:dyDescent="0.25"/>
    <row r="3" spans="2:19" s="236" customFormat="1" ht="38.25" x14ac:dyDescent="0.2">
      <c r="B3" s="159" t="s">
        <v>9</v>
      </c>
      <c r="C3" s="192" t="s">
        <v>84</v>
      </c>
      <c r="D3" s="192" t="s">
        <v>85</v>
      </c>
      <c r="E3" s="192" t="s">
        <v>86</v>
      </c>
      <c r="F3" s="237" t="s">
        <v>79</v>
      </c>
      <c r="G3" s="237" t="s">
        <v>81</v>
      </c>
      <c r="H3" s="237" t="s">
        <v>1</v>
      </c>
      <c r="I3" s="237" t="s">
        <v>0</v>
      </c>
      <c r="J3" s="237" t="s">
        <v>82</v>
      </c>
      <c r="K3" s="237" t="s">
        <v>2</v>
      </c>
      <c r="L3" s="237" t="s">
        <v>0</v>
      </c>
      <c r="M3" s="237" t="s">
        <v>80</v>
      </c>
      <c r="N3" s="237" t="s">
        <v>3</v>
      </c>
      <c r="O3" s="237" t="s">
        <v>83</v>
      </c>
      <c r="P3" s="237" t="s">
        <v>4</v>
      </c>
      <c r="Q3" s="237" t="s">
        <v>5</v>
      </c>
      <c r="R3" s="238" t="s">
        <v>7</v>
      </c>
      <c r="S3" s="196" t="s">
        <v>6</v>
      </c>
    </row>
    <row r="4" spans="2:19" x14ac:dyDescent="0.2">
      <c r="B4" s="239" t="s">
        <v>60</v>
      </c>
      <c r="C4" s="239">
        <v>39.299999999999997</v>
      </c>
      <c r="D4" s="239">
        <v>36.799999999999997</v>
      </c>
      <c r="E4" s="239">
        <f t="shared" ref="E4:E11" si="0">C4-D4</f>
        <v>2.5</v>
      </c>
      <c r="F4" s="240">
        <v>0.57024305555555554</v>
      </c>
      <c r="G4" s="240">
        <v>0.5838078703703703</v>
      </c>
      <c r="H4" s="240">
        <f t="shared" ref="H4:H11" si="1">G4-F4</f>
        <v>1.3564814814814752E-2</v>
      </c>
      <c r="I4" s="241">
        <v>0</v>
      </c>
      <c r="J4" s="240">
        <v>0.59740740740740739</v>
      </c>
      <c r="K4" s="240">
        <f t="shared" ref="K4:K11" si="2">J4-F4</f>
        <v>2.7164351851851842E-2</v>
      </c>
      <c r="L4" s="241">
        <v>0</v>
      </c>
      <c r="M4" s="240">
        <v>0.61364583333333333</v>
      </c>
      <c r="N4" s="240">
        <f t="shared" ref="N4:N11" si="3">M4-F4</f>
        <v>4.340277777777779E-2</v>
      </c>
      <c r="O4" s="241"/>
      <c r="P4" s="241">
        <v>5</v>
      </c>
      <c r="Q4" s="241">
        <v>500</v>
      </c>
      <c r="R4" s="242">
        <f t="shared" ref="R4:R11" si="4">500*MIN($E$4:$E$11)/E4</f>
        <v>414.00000000000011</v>
      </c>
      <c r="S4" s="243">
        <f t="shared" ref="S4:S10" si="5">SUM(Q4+R4)</f>
        <v>914.00000000000011</v>
      </c>
    </row>
    <row r="5" spans="2:19" x14ac:dyDescent="0.2">
      <c r="B5" s="239" t="s">
        <v>56</v>
      </c>
      <c r="C5" s="239">
        <v>44.12</v>
      </c>
      <c r="D5" s="239">
        <v>41.01</v>
      </c>
      <c r="E5" s="239">
        <f t="shared" si="0"/>
        <v>3.1099999999999994</v>
      </c>
      <c r="F5" s="240">
        <v>0.57270833333333326</v>
      </c>
      <c r="G5" s="240">
        <v>0.58612268518518518</v>
      </c>
      <c r="H5" s="240">
        <f t="shared" si="1"/>
        <v>1.3414351851851913E-2</v>
      </c>
      <c r="I5" s="241">
        <v>0</v>
      </c>
      <c r="J5" s="240">
        <v>0.60026620370370376</v>
      </c>
      <c r="K5" s="240">
        <f t="shared" si="2"/>
        <v>2.7557870370370496E-2</v>
      </c>
      <c r="L5" s="241">
        <v>0</v>
      </c>
      <c r="M5" s="240">
        <v>0.61418981481481483</v>
      </c>
      <c r="N5" s="240">
        <f t="shared" si="3"/>
        <v>4.1481481481481564E-2</v>
      </c>
      <c r="O5" s="241"/>
      <c r="P5" s="241">
        <v>5</v>
      </c>
      <c r="Q5" s="241">
        <v>500</v>
      </c>
      <c r="R5" s="242">
        <f t="shared" si="4"/>
        <v>332.79742765273323</v>
      </c>
      <c r="S5" s="243">
        <f t="shared" si="5"/>
        <v>832.79742765273318</v>
      </c>
    </row>
    <row r="6" spans="2:19" x14ac:dyDescent="0.2">
      <c r="B6" s="239" t="s">
        <v>59</v>
      </c>
      <c r="C6" s="239">
        <v>35.520000000000003</v>
      </c>
      <c r="D6" s="239">
        <v>31.83</v>
      </c>
      <c r="E6" s="239">
        <f t="shared" si="0"/>
        <v>3.6900000000000048</v>
      </c>
      <c r="F6" s="240">
        <v>0.56060185185185185</v>
      </c>
      <c r="G6" s="240">
        <v>0.57318287037037041</v>
      </c>
      <c r="H6" s="240">
        <f t="shared" si="1"/>
        <v>1.2581018518518561E-2</v>
      </c>
      <c r="I6" s="241">
        <v>0</v>
      </c>
      <c r="J6" s="240">
        <v>0.58675925925925931</v>
      </c>
      <c r="K6" s="240">
        <f t="shared" si="2"/>
        <v>2.6157407407407463E-2</v>
      </c>
      <c r="L6" s="241">
        <v>0</v>
      </c>
      <c r="M6" s="240">
        <v>0.60047453703703701</v>
      </c>
      <c r="N6" s="240">
        <f t="shared" si="3"/>
        <v>3.9872685185185164E-2</v>
      </c>
      <c r="O6" s="241"/>
      <c r="P6" s="241">
        <v>5</v>
      </c>
      <c r="Q6" s="241">
        <v>500</v>
      </c>
      <c r="R6" s="242">
        <f t="shared" si="4"/>
        <v>280.48780487804845</v>
      </c>
      <c r="S6" s="243">
        <f t="shared" si="5"/>
        <v>780.48780487804845</v>
      </c>
    </row>
    <row r="7" spans="2:19" x14ac:dyDescent="0.2">
      <c r="B7" s="239" t="s">
        <v>58</v>
      </c>
      <c r="C7" s="239">
        <v>32.25</v>
      </c>
      <c r="D7" s="239">
        <v>29.5</v>
      </c>
      <c r="E7" s="239">
        <f t="shared" si="0"/>
        <v>2.75</v>
      </c>
      <c r="F7" s="240">
        <v>0.57902777777777781</v>
      </c>
      <c r="G7" s="240">
        <v>0.59307870370370364</v>
      </c>
      <c r="H7" s="240">
        <f t="shared" si="1"/>
        <v>1.4050925925925828E-2</v>
      </c>
      <c r="I7" s="241">
        <v>0</v>
      </c>
      <c r="J7" s="240">
        <v>0.6068634259259259</v>
      </c>
      <c r="K7" s="240">
        <f t="shared" si="2"/>
        <v>2.7835648148148096E-2</v>
      </c>
      <c r="L7" s="241">
        <v>0</v>
      </c>
      <c r="M7" s="240">
        <v>0.62070601851851859</v>
      </c>
      <c r="N7" s="240">
        <f t="shared" si="3"/>
        <v>4.167824074074078E-2</v>
      </c>
      <c r="O7" s="241"/>
      <c r="P7" s="241">
        <v>5</v>
      </c>
      <c r="Q7" s="241">
        <v>500</v>
      </c>
      <c r="R7" s="242">
        <f t="shared" si="4"/>
        <v>376.36363636363643</v>
      </c>
      <c r="S7" s="243">
        <f t="shared" si="5"/>
        <v>876.36363636363649</v>
      </c>
    </row>
    <row r="8" spans="2:19" x14ac:dyDescent="0.2">
      <c r="B8" s="239" t="s">
        <v>61</v>
      </c>
      <c r="C8" s="239">
        <v>34.14</v>
      </c>
      <c r="D8" s="239">
        <v>31.34</v>
      </c>
      <c r="E8" s="239">
        <f t="shared" si="0"/>
        <v>2.8000000000000007</v>
      </c>
      <c r="F8" s="240">
        <v>0.56967592592592597</v>
      </c>
      <c r="G8" s="240">
        <v>0.58401620370370366</v>
      </c>
      <c r="H8" s="240">
        <f t="shared" si="1"/>
        <v>1.4340277777777688E-2</v>
      </c>
      <c r="I8" s="241">
        <v>0</v>
      </c>
      <c r="J8" s="240">
        <v>0.59723379629629625</v>
      </c>
      <c r="K8" s="240">
        <f t="shared" si="2"/>
        <v>2.7557870370370274E-2</v>
      </c>
      <c r="L8" s="241">
        <v>0</v>
      </c>
      <c r="M8" s="240">
        <v>0.61231481481481487</v>
      </c>
      <c r="N8" s="240">
        <f t="shared" si="3"/>
        <v>4.2638888888888893E-2</v>
      </c>
      <c r="O8" s="241"/>
      <c r="P8" s="241">
        <v>5</v>
      </c>
      <c r="Q8" s="241">
        <v>500</v>
      </c>
      <c r="R8" s="242">
        <f t="shared" si="4"/>
        <v>369.64285714285711</v>
      </c>
      <c r="S8" s="243">
        <f t="shared" si="5"/>
        <v>869.64285714285711</v>
      </c>
    </row>
    <row r="9" spans="2:19" x14ac:dyDescent="0.2">
      <c r="B9" s="239" t="s">
        <v>57</v>
      </c>
      <c r="C9" s="239">
        <v>35.53</v>
      </c>
      <c r="D9" s="239">
        <v>32.770000000000003</v>
      </c>
      <c r="E9" s="239">
        <f t="shared" si="0"/>
        <v>2.759999999999998</v>
      </c>
      <c r="F9" s="240">
        <v>0.56770833333333337</v>
      </c>
      <c r="G9" s="240">
        <v>0.58099537037037041</v>
      </c>
      <c r="H9" s="240">
        <f t="shared" si="1"/>
        <v>1.3287037037037042E-2</v>
      </c>
      <c r="I9" s="241">
        <v>0</v>
      </c>
      <c r="J9" s="240">
        <v>0.59561342592592592</v>
      </c>
      <c r="K9" s="240">
        <f t="shared" si="2"/>
        <v>2.7905092592592551E-2</v>
      </c>
      <c r="L9" s="241">
        <v>0</v>
      </c>
      <c r="M9" s="240">
        <v>0.61032407407407407</v>
      </c>
      <c r="N9" s="240">
        <f t="shared" si="3"/>
        <v>4.2615740740740704E-2</v>
      </c>
      <c r="O9" s="241"/>
      <c r="P9" s="241">
        <v>5</v>
      </c>
      <c r="Q9" s="241">
        <v>500</v>
      </c>
      <c r="R9" s="242">
        <f t="shared" si="4"/>
        <v>375.00000000000034</v>
      </c>
      <c r="S9" s="243">
        <f t="shared" si="5"/>
        <v>875.00000000000034</v>
      </c>
    </row>
    <row r="10" spans="2:19" x14ac:dyDescent="0.2">
      <c r="B10" s="239" t="s">
        <v>30</v>
      </c>
      <c r="C10" s="239">
        <v>35.28</v>
      </c>
      <c r="D10" s="239">
        <v>33.21</v>
      </c>
      <c r="E10" s="239">
        <f t="shared" si="0"/>
        <v>2.0700000000000003</v>
      </c>
      <c r="F10" s="240">
        <v>0.56133101851851852</v>
      </c>
      <c r="G10" s="240">
        <v>0.57368055555555553</v>
      </c>
      <c r="H10" s="240">
        <f t="shared" si="1"/>
        <v>1.2349537037037006E-2</v>
      </c>
      <c r="I10" s="241">
        <v>0</v>
      </c>
      <c r="J10" s="240">
        <v>0.5876851851851852</v>
      </c>
      <c r="K10" s="240">
        <f t="shared" si="2"/>
        <v>2.6354166666666679E-2</v>
      </c>
      <c r="L10" s="241">
        <v>0</v>
      </c>
      <c r="M10" s="240">
        <v>0.6011805555555555</v>
      </c>
      <c r="N10" s="240">
        <f t="shared" si="3"/>
        <v>3.9849537037036975E-2</v>
      </c>
      <c r="O10" s="241"/>
      <c r="P10" s="241">
        <v>5</v>
      </c>
      <c r="Q10" s="241">
        <v>500</v>
      </c>
      <c r="R10" s="242">
        <f t="shared" si="4"/>
        <v>500.00000000000006</v>
      </c>
      <c r="S10" s="243">
        <f t="shared" si="5"/>
        <v>1000</v>
      </c>
    </row>
    <row r="11" spans="2:19" x14ac:dyDescent="0.2">
      <c r="B11" s="239" t="s">
        <v>55</v>
      </c>
      <c r="C11" s="239">
        <v>40.590000000000003</v>
      </c>
      <c r="D11" s="239">
        <v>36.64</v>
      </c>
      <c r="E11" s="239">
        <f t="shared" si="0"/>
        <v>3.9500000000000028</v>
      </c>
      <c r="F11" s="240">
        <v>0.56953703703703706</v>
      </c>
      <c r="G11" s="240">
        <v>0.58190972222222226</v>
      </c>
      <c r="H11" s="240">
        <f t="shared" si="1"/>
        <v>1.2372685185185195E-2</v>
      </c>
      <c r="I11" s="241">
        <v>0</v>
      </c>
      <c r="J11" s="240">
        <v>0.5941319444444445</v>
      </c>
      <c r="K11" s="240">
        <f t="shared" si="2"/>
        <v>2.459490740740744E-2</v>
      </c>
      <c r="L11" s="241">
        <v>95</v>
      </c>
      <c r="M11" s="240">
        <v>0.60743055555555558</v>
      </c>
      <c r="N11" s="240">
        <f t="shared" si="3"/>
        <v>3.7893518518518521E-2</v>
      </c>
      <c r="O11" s="241">
        <v>146</v>
      </c>
      <c r="P11" s="241">
        <v>5</v>
      </c>
      <c r="Q11" s="241">
        <v>500</v>
      </c>
      <c r="R11" s="242">
        <f t="shared" si="4"/>
        <v>262.0253164556961</v>
      </c>
      <c r="S11" s="243">
        <f>SUM(Q11+R11)-L11-O11</f>
        <v>521.02531645569616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E22"/>
  <sheetViews>
    <sheetView zoomScaleNormal="100" workbookViewId="0">
      <selection activeCell="H24" sqref="H24"/>
    </sheetView>
  </sheetViews>
  <sheetFormatPr defaultColWidth="8.85546875" defaultRowHeight="12.75" x14ac:dyDescent="0.2"/>
  <cols>
    <col min="1" max="1" width="18.140625" style="111" bestFit="1" customWidth="1"/>
    <col min="2" max="2" width="13.7109375" style="111" bestFit="1" customWidth="1"/>
    <col min="3" max="3" width="5.85546875" style="111" bestFit="1" customWidth="1"/>
    <col min="4" max="4" width="9.140625" style="111" customWidth="1"/>
    <col min="5" max="5" width="6" style="111" bestFit="1" customWidth="1"/>
    <col min="6" max="10" width="9.140625" style="111" customWidth="1"/>
    <col min="11" max="16384" width="8.85546875" style="111"/>
  </cols>
  <sheetData>
    <row r="1" spans="1:5" x14ac:dyDescent="0.2">
      <c r="B1" s="113" t="s">
        <v>62</v>
      </c>
      <c r="C1" s="156"/>
    </row>
    <row r="2" spans="1:5" ht="13.5" thickBot="1" x14ac:dyDescent="0.25">
      <c r="B2" s="157"/>
    </row>
    <row r="3" spans="1:5" ht="13.5" thickBot="1" x14ac:dyDescent="0.25">
      <c r="A3" s="152" t="s">
        <v>21</v>
      </c>
      <c r="B3" s="158" t="s">
        <v>23</v>
      </c>
      <c r="C3" s="159" t="s">
        <v>22</v>
      </c>
      <c r="E3" s="111" t="s">
        <v>12</v>
      </c>
    </row>
    <row r="4" spans="1:5" x14ac:dyDescent="0.2">
      <c r="A4" s="153" t="s">
        <v>100</v>
      </c>
      <c r="B4" s="160">
        <v>1</v>
      </c>
      <c r="C4" s="161">
        <f t="shared" ref="C4:C22" si="0">IF(B4=3,$E$6,IF(B4=2,$E$5,IF(B4=1,$E$4,0)))</f>
        <v>100</v>
      </c>
      <c r="E4" s="132">
        <v>100</v>
      </c>
    </row>
    <row r="5" spans="1:5" x14ac:dyDescent="0.2">
      <c r="A5" s="154" t="s">
        <v>108</v>
      </c>
      <c r="B5" s="162">
        <v>1</v>
      </c>
      <c r="C5" s="163">
        <f t="shared" si="0"/>
        <v>100</v>
      </c>
      <c r="E5" s="132">
        <v>75</v>
      </c>
    </row>
    <row r="6" spans="1:5" x14ac:dyDescent="0.2">
      <c r="A6" s="154" t="s">
        <v>101</v>
      </c>
      <c r="B6" s="162">
        <v>1</v>
      </c>
      <c r="C6" s="163">
        <f t="shared" si="0"/>
        <v>100</v>
      </c>
      <c r="E6" s="132">
        <v>50</v>
      </c>
    </row>
    <row r="7" spans="1:5" x14ac:dyDescent="0.2">
      <c r="A7" s="154" t="s">
        <v>107</v>
      </c>
      <c r="B7" s="162">
        <v>1</v>
      </c>
      <c r="C7" s="163">
        <f t="shared" si="0"/>
        <v>100</v>
      </c>
      <c r="E7" s="132"/>
    </row>
    <row r="8" spans="1:5" x14ac:dyDescent="0.2">
      <c r="A8" s="154" t="s">
        <v>110</v>
      </c>
      <c r="B8" s="162">
        <v>1</v>
      </c>
      <c r="C8" s="163">
        <f t="shared" si="0"/>
        <v>100</v>
      </c>
    </row>
    <row r="9" spans="1:5" x14ac:dyDescent="0.2">
      <c r="A9" s="154" t="s">
        <v>111</v>
      </c>
      <c r="B9" s="162">
        <v>1</v>
      </c>
      <c r="C9" s="163">
        <f t="shared" si="0"/>
        <v>100</v>
      </c>
    </row>
    <row r="10" spans="1:5" x14ac:dyDescent="0.2">
      <c r="A10" s="154" t="s">
        <v>56</v>
      </c>
      <c r="B10" s="162">
        <v>1</v>
      </c>
      <c r="C10" s="163">
        <f t="shared" si="0"/>
        <v>100</v>
      </c>
    </row>
    <row r="11" spans="1:5" x14ac:dyDescent="0.2">
      <c r="A11" s="154" t="s">
        <v>112</v>
      </c>
      <c r="B11" s="162">
        <v>1</v>
      </c>
      <c r="C11" s="163">
        <f t="shared" si="0"/>
        <v>100</v>
      </c>
    </row>
    <row r="12" spans="1:5" x14ac:dyDescent="0.2">
      <c r="A12" s="154" t="s">
        <v>103</v>
      </c>
      <c r="B12" s="162">
        <v>1</v>
      </c>
      <c r="C12" s="163">
        <f t="shared" si="0"/>
        <v>100</v>
      </c>
    </row>
    <row r="13" spans="1:5" x14ac:dyDescent="0.2">
      <c r="A13" s="154" t="s">
        <v>59</v>
      </c>
      <c r="B13" s="162">
        <v>1</v>
      </c>
      <c r="C13" s="163">
        <f t="shared" si="0"/>
        <v>100</v>
      </c>
    </row>
    <row r="14" spans="1:5" x14ac:dyDescent="0.2">
      <c r="A14" s="154" t="s">
        <v>102</v>
      </c>
      <c r="B14" s="162">
        <v>1</v>
      </c>
      <c r="C14" s="163">
        <f t="shared" si="0"/>
        <v>100</v>
      </c>
    </row>
    <row r="15" spans="1:5" x14ac:dyDescent="0.2">
      <c r="A15" s="154" t="s">
        <v>58</v>
      </c>
      <c r="B15" s="162">
        <v>1</v>
      </c>
      <c r="C15" s="163">
        <f t="shared" si="0"/>
        <v>100</v>
      </c>
    </row>
    <row r="16" spans="1:5" x14ac:dyDescent="0.2">
      <c r="A16" s="154" t="s">
        <v>105</v>
      </c>
      <c r="B16" s="162">
        <v>1</v>
      </c>
      <c r="C16" s="163">
        <f t="shared" si="0"/>
        <v>100</v>
      </c>
    </row>
    <row r="17" spans="1:3" x14ac:dyDescent="0.2">
      <c r="A17" s="154" t="s">
        <v>99</v>
      </c>
      <c r="B17" s="162">
        <v>1</v>
      </c>
      <c r="C17" s="163">
        <f t="shared" si="0"/>
        <v>100</v>
      </c>
    </row>
    <row r="18" spans="1:3" x14ac:dyDescent="0.2">
      <c r="A18" s="154" t="s">
        <v>113</v>
      </c>
      <c r="B18" s="162">
        <v>1</v>
      </c>
      <c r="C18" s="163">
        <f t="shared" si="0"/>
        <v>100</v>
      </c>
    </row>
    <row r="19" spans="1:3" x14ac:dyDescent="0.2">
      <c r="A19" s="154" t="s">
        <v>97</v>
      </c>
      <c r="B19" s="162">
        <v>1</v>
      </c>
      <c r="C19" s="163">
        <f t="shared" si="0"/>
        <v>100</v>
      </c>
    </row>
    <row r="20" spans="1:3" x14ac:dyDescent="0.2">
      <c r="A20" s="154" t="s">
        <v>109</v>
      </c>
      <c r="B20" s="162">
        <v>1</v>
      </c>
      <c r="C20" s="163">
        <f t="shared" si="0"/>
        <v>100</v>
      </c>
    </row>
    <row r="21" spans="1:3" x14ac:dyDescent="0.2">
      <c r="A21" s="154" t="s">
        <v>104</v>
      </c>
      <c r="B21" s="162">
        <v>1</v>
      </c>
      <c r="C21" s="163">
        <f t="shared" si="0"/>
        <v>100</v>
      </c>
    </row>
    <row r="22" spans="1:3" ht="13.5" thickBot="1" x14ac:dyDescent="0.25">
      <c r="A22" s="155" t="s">
        <v>106</v>
      </c>
      <c r="B22" s="164" t="s">
        <v>43</v>
      </c>
      <c r="C22" s="165">
        <f t="shared" si="0"/>
        <v>0</v>
      </c>
    </row>
  </sheetData>
  <sortState ref="A4:C22">
    <sortCondition ref="A3"/>
  </sortState>
  <phoneticPr fontId="28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&amp;C&amp;A</oddHead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K23"/>
  <sheetViews>
    <sheetView zoomScaleNormal="100" workbookViewId="0">
      <selection activeCell="J26" sqref="J26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15.140625" style="111" bestFit="1" customWidth="1"/>
    <col min="4" max="4" width="8.85546875" style="111" bestFit="1" customWidth="1"/>
    <col min="5" max="5" width="12" style="111" hidden="1" customWidth="1"/>
    <col min="6" max="6" width="10.28515625" style="111" bestFit="1" customWidth="1"/>
    <col min="7" max="7" width="7" style="111" customWidth="1"/>
    <col min="8" max="8" width="10.28515625" style="111" bestFit="1" customWidth="1"/>
    <col min="9" max="9" width="20" style="111" bestFit="1" customWidth="1"/>
    <col min="10" max="16384" width="8.85546875" style="111"/>
  </cols>
  <sheetData>
    <row r="1" spans="1:11" x14ac:dyDescent="0.2">
      <c r="C1" s="113" t="s">
        <v>123</v>
      </c>
      <c r="D1" s="167" t="s">
        <v>122</v>
      </c>
    </row>
    <row r="2" spans="1:11" ht="13.5" thickBot="1" x14ac:dyDescent="0.25">
      <c r="C2" s="157"/>
    </row>
    <row r="3" spans="1:11" ht="26.25" thickBot="1" x14ac:dyDescent="0.25">
      <c r="A3" s="176" t="s">
        <v>126</v>
      </c>
      <c r="B3" s="114" t="s">
        <v>21</v>
      </c>
      <c r="C3" s="169" t="s">
        <v>124</v>
      </c>
      <c r="D3" s="176" t="s">
        <v>45</v>
      </c>
      <c r="E3" s="176" t="s">
        <v>13</v>
      </c>
      <c r="F3" s="177" t="s">
        <v>22</v>
      </c>
      <c r="G3" s="117" t="s">
        <v>28</v>
      </c>
      <c r="H3" s="177" t="s">
        <v>6</v>
      </c>
    </row>
    <row r="4" spans="1:11" x14ac:dyDescent="0.2">
      <c r="A4" s="168">
        <v>18</v>
      </c>
      <c r="B4" s="168" t="s">
        <v>107</v>
      </c>
      <c r="C4" s="170">
        <v>3</v>
      </c>
      <c r="D4" s="168">
        <v>27.21</v>
      </c>
      <c r="E4" s="168">
        <f t="shared" ref="E4:E19" si="0">C4^3/D4</f>
        <v>0.99228224917309804</v>
      </c>
      <c r="F4" s="173">
        <f t="shared" ref="F4:F22" si="1">ROUND($K$5*E4/MAX($E$4:$E$22),0)</f>
        <v>1000</v>
      </c>
      <c r="G4" s="136"/>
      <c r="H4" s="173">
        <f t="shared" ref="H4:H22" si="2">ROUND(F4-F4*G4,0)</f>
        <v>1000</v>
      </c>
    </row>
    <row r="5" spans="1:11" x14ac:dyDescent="0.2">
      <c r="A5" s="168">
        <v>19</v>
      </c>
      <c r="B5" s="154" t="s">
        <v>99</v>
      </c>
      <c r="C5" s="183">
        <v>3</v>
      </c>
      <c r="D5" s="184">
        <v>27.38</v>
      </c>
      <c r="E5" s="184">
        <f t="shared" si="0"/>
        <v>0.9861212563915267</v>
      </c>
      <c r="F5" s="174">
        <f t="shared" si="1"/>
        <v>994</v>
      </c>
      <c r="G5" s="136"/>
      <c r="H5" s="173">
        <f t="shared" si="2"/>
        <v>994</v>
      </c>
      <c r="J5" s="111" t="s">
        <v>11</v>
      </c>
      <c r="K5" s="166">
        <v>1000</v>
      </c>
    </row>
    <row r="6" spans="1:11" x14ac:dyDescent="0.2">
      <c r="A6" s="168">
        <v>1</v>
      </c>
      <c r="B6" s="154" t="s">
        <v>59</v>
      </c>
      <c r="C6" s="183">
        <v>3</v>
      </c>
      <c r="D6" s="184">
        <v>30.18</v>
      </c>
      <c r="E6" s="184">
        <f t="shared" si="0"/>
        <v>0.89463220675944333</v>
      </c>
      <c r="F6" s="174">
        <f t="shared" si="1"/>
        <v>902</v>
      </c>
      <c r="G6" s="136"/>
      <c r="H6" s="173">
        <f t="shared" si="2"/>
        <v>902</v>
      </c>
    </row>
    <row r="7" spans="1:11" x14ac:dyDescent="0.2">
      <c r="A7" s="168">
        <v>12</v>
      </c>
      <c r="B7" s="154" t="s">
        <v>104</v>
      </c>
      <c r="C7" s="171">
        <v>3</v>
      </c>
      <c r="D7" s="154">
        <v>31.52</v>
      </c>
      <c r="E7" s="154">
        <f t="shared" si="0"/>
        <v>0.85659898477157359</v>
      </c>
      <c r="F7" s="174">
        <f t="shared" si="1"/>
        <v>863</v>
      </c>
      <c r="G7" s="136"/>
      <c r="H7" s="173">
        <f t="shared" si="2"/>
        <v>863</v>
      </c>
    </row>
    <row r="8" spans="1:11" x14ac:dyDescent="0.2">
      <c r="A8" s="168">
        <v>2</v>
      </c>
      <c r="B8" s="154" t="s">
        <v>105</v>
      </c>
      <c r="C8" s="183">
        <v>3</v>
      </c>
      <c r="D8" s="184">
        <v>31.7</v>
      </c>
      <c r="E8" s="184">
        <f t="shared" si="0"/>
        <v>0.8517350157728707</v>
      </c>
      <c r="F8" s="174">
        <f t="shared" si="1"/>
        <v>858</v>
      </c>
      <c r="G8" s="136"/>
      <c r="H8" s="173">
        <f t="shared" si="2"/>
        <v>858</v>
      </c>
    </row>
    <row r="9" spans="1:11" x14ac:dyDescent="0.2">
      <c r="A9" s="168">
        <v>4</v>
      </c>
      <c r="B9" s="154" t="s">
        <v>109</v>
      </c>
      <c r="C9" s="183">
        <v>3</v>
      </c>
      <c r="D9" s="184">
        <v>33.49</v>
      </c>
      <c r="E9" s="184">
        <f t="shared" si="0"/>
        <v>0.80621080919677512</v>
      </c>
      <c r="F9" s="174">
        <f t="shared" si="1"/>
        <v>812</v>
      </c>
      <c r="G9" s="136"/>
      <c r="H9" s="173">
        <f t="shared" si="2"/>
        <v>812</v>
      </c>
    </row>
    <row r="10" spans="1:11" x14ac:dyDescent="0.2">
      <c r="A10" s="168">
        <v>7</v>
      </c>
      <c r="B10" s="154" t="s">
        <v>113</v>
      </c>
      <c r="C10" s="183">
        <v>3</v>
      </c>
      <c r="D10" s="184">
        <v>33.74</v>
      </c>
      <c r="E10" s="184">
        <f t="shared" si="0"/>
        <v>0.80023710729104913</v>
      </c>
      <c r="F10" s="174">
        <f t="shared" si="1"/>
        <v>806</v>
      </c>
      <c r="G10" s="136"/>
      <c r="H10" s="173">
        <f t="shared" si="2"/>
        <v>806</v>
      </c>
    </row>
    <row r="11" spans="1:11" x14ac:dyDescent="0.2">
      <c r="A11" s="168">
        <v>6</v>
      </c>
      <c r="B11" s="154" t="s">
        <v>58</v>
      </c>
      <c r="C11" s="183">
        <v>3</v>
      </c>
      <c r="D11" s="184">
        <v>35.97</v>
      </c>
      <c r="E11" s="184">
        <f t="shared" si="0"/>
        <v>0.75062552126772308</v>
      </c>
      <c r="F11" s="174">
        <f t="shared" si="1"/>
        <v>756</v>
      </c>
      <c r="G11" s="136"/>
      <c r="H11" s="173">
        <f t="shared" si="2"/>
        <v>756</v>
      </c>
    </row>
    <row r="12" spans="1:11" x14ac:dyDescent="0.2">
      <c r="A12" s="168">
        <v>10</v>
      </c>
      <c r="B12" s="154" t="s">
        <v>110</v>
      </c>
      <c r="C12" s="183">
        <v>3</v>
      </c>
      <c r="D12" s="184">
        <v>37.06</v>
      </c>
      <c r="E12" s="184">
        <f t="shared" si="0"/>
        <v>0.72854830005396654</v>
      </c>
      <c r="F12" s="174">
        <f t="shared" si="1"/>
        <v>734</v>
      </c>
      <c r="G12" s="136"/>
      <c r="H12" s="173">
        <f t="shared" si="2"/>
        <v>734</v>
      </c>
    </row>
    <row r="13" spans="1:11" x14ac:dyDescent="0.2">
      <c r="A13" s="168">
        <v>16</v>
      </c>
      <c r="B13" s="154" t="s">
        <v>101</v>
      </c>
      <c r="C13" s="171">
        <v>3</v>
      </c>
      <c r="D13" s="154">
        <v>40.14</v>
      </c>
      <c r="E13" s="154">
        <f t="shared" si="0"/>
        <v>0.67264573991031384</v>
      </c>
      <c r="F13" s="174">
        <f t="shared" si="1"/>
        <v>678</v>
      </c>
      <c r="G13" s="136"/>
      <c r="H13" s="173">
        <f t="shared" si="2"/>
        <v>678</v>
      </c>
    </row>
    <row r="14" spans="1:11" x14ac:dyDescent="0.2">
      <c r="A14" s="168">
        <v>9</v>
      </c>
      <c r="B14" s="154" t="s">
        <v>102</v>
      </c>
      <c r="C14" s="183">
        <v>3</v>
      </c>
      <c r="D14" s="184">
        <v>42.63</v>
      </c>
      <c r="E14" s="184">
        <f t="shared" si="0"/>
        <v>0.63335679099225894</v>
      </c>
      <c r="F14" s="174">
        <f t="shared" si="1"/>
        <v>638</v>
      </c>
      <c r="G14" s="136"/>
      <c r="H14" s="173">
        <f t="shared" si="2"/>
        <v>638</v>
      </c>
    </row>
    <row r="15" spans="1:11" x14ac:dyDescent="0.2">
      <c r="A15" s="168">
        <v>14</v>
      </c>
      <c r="B15" s="154" t="s">
        <v>100</v>
      </c>
      <c r="C15" s="171">
        <v>3</v>
      </c>
      <c r="D15" s="154">
        <v>43.03</v>
      </c>
      <c r="E15" s="154">
        <f t="shared" si="0"/>
        <v>0.62746920752963042</v>
      </c>
      <c r="F15" s="174">
        <f t="shared" si="1"/>
        <v>632</v>
      </c>
      <c r="G15" s="136"/>
      <c r="H15" s="173">
        <f t="shared" si="2"/>
        <v>632</v>
      </c>
    </row>
    <row r="16" spans="1:11" x14ac:dyDescent="0.2">
      <c r="A16" s="168">
        <v>5</v>
      </c>
      <c r="B16" s="154" t="s">
        <v>97</v>
      </c>
      <c r="C16" s="183">
        <v>3</v>
      </c>
      <c r="D16" s="184">
        <v>45.72</v>
      </c>
      <c r="E16" s="184">
        <f t="shared" si="0"/>
        <v>0.59055118110236227</v>
      </c>
      <c r="F16" s="174">
        <f t="shared" si="1"/>
        <v>595</v>
      </c>
      <c r="G16" s="136"/>
      <c r="H16" s="173">
        <f t="shared" si="2"/>
        <v>595</v>
      </c>
    </row>
    <row r="17" spans="1:8" x14ac:dyDescent="0.2">
      <c r="A17" s="168">
        <v>11</v>
      </c>
      <c r="B17" s="154" t="s">
        <v>111</v>
      </c>
      <c r="C17" s="171">
        <v>3</v>
      </c>
      <c r="D17" s="154">
        <v>49.47</v>
      </c>
      <c r="E17" s="154">
        <f t="shared" si="0"/>
        <v>0.54578532443905403</v>
      </c>
      <c r="F17" s="174">
        <f t="shared" si="1"/>
        <v>550</v>
      </c>
      <c r="G17" s="136"/>
      <c r="H17" s="173">
        <f t="shared" si="2"/>
        <v>550</v>
      </c>
    </row>
    <row r="18" spans="1:8" x14ac:dyDescent="0.2">
      <c r="A18" s="168">
        <v>3</v>
      </c>
      <c r="B18" s="154" t="s">
        <v>56</v>
      </c>
      <c r="C18" s="183">
        <v>3</v>
      </c>
      <c r="D18" s="184">
        <v>50.76</v>
      </c>
      <c r="E18" s="184">
        <f t="shared" si="0"/>
        <v>0.53191489361702127</v>
      </c>
      <c r="F18" s="174">
        <f t="shared" si="1"/>
        <v>536</v>
      </c>
      <c r="G18" s="136"/>
      <c r="H18" s="173">
        <f t="shared" si="2"/>
        <v>536</v>
      </c>
    </row>
    <row r="19" spans="1:8" x14ac:dyDescent="0.2">
      <c r="A19" s="168">
        <v>17</v>
      </c>
      <c r="B19" s="154" t="s">
        <v>108</v>
      </c>
      <c r="C19" s="171">
        <v>3</v>
      </c>
      <c r="D19" s="154">
        <v>43.36</v>
      </c>
      <c r="E19" s="154">
        <f t="shared" si="0"/>
        <v>0.62269372693726943</v>
      </c>
      <c r="F19" s="174">
        <f t="shared" si="1"/>
        <v>628</v>
      </c>
      <c r="G19" s="136">
        <v>0.2</v>
      </c>
      <c r="H19" s="173">
        <f t="shared" si="2"/>
        <v>502</v>
      </c>
    </row>
    <row r="20" spans="1:8" x14ac:dyDescent="0.2">
      <c r="A20" s="168">
        <v>13</v>
      </c>
      <c r="B20" s="154" t="s">
        <v>112</v>
      </c>
      <c r="C20" s="171" t="s">
        <v>43</v>
      </c>
      <c r="D20" s="154"/>
      <c r="E20" s="154">
        <v>0</v>
      </c>
      <c r="F20" s="174">
        <f t="shared" si="1"/>
        <v>0</v>
      </c>
      <c r="G20" s="136"/>
      <c r="H20" s="173">
        <f t="shared" si="2"/>
        <v>0</v>
      </c>
    </row>
    <row r="21" spans="1:8" x14ac:dyDescent="0.2">
      <c r="A21" s="168">
        <v>15</v>
      </c>
      <c r="B21" s="154" t="s">
        <v>103</v>
      </c>
      <c r="C21" s="171" t="s">
        <v>43</v>
      </c>
      <c r="D21" s="154"/>
      <c r="E21" s="154">
        <v>0</v>
      </c>
      <c r="F21" s="174">
        <f t="shared" si="1"/>
        <v>0</v>
      </c>
      <c r="G21" s="136"/>
      <c r="H21" s="173">
        <f t="shared" si="2"/>
        <v>0</v>
      </c>
    </row>
    <row r="22" spans="1:8" ht="13.5" thickBot="1" x14ac:dyDescent="0.25">
      <c r="A22" s="178">
        <v>8</v>
      </c>
      <c r="B22" s="155" t="s">
        <v>106</v>
      </c>
      <c r="C22" s="172" t="s">
        <v>43</v>
      </c>
      <c r="D22" s="155"/>
      <c r="E22" s="155">
        <v>0</v>
      </c>
      <c r="F22" s="175">
        <f t="shared" si="1"/>
        <v>0</v>
      </c>
      <c r="G22" s="136"/>
      <c r="H22" s="173">
        <f t="shared" si="2"/>
        <v>0</v>
      </c>
    </row>
    <row r="23" spans="1:8" ht="15" x14ac:dyDescent="0.25">
      <c r="A23"/>
      <c r="B23"/>
    </row>
  </sheetData>
  <sortState ref="A4:H22">
    <sortCondition descending="1" ref="H4:H2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&amp;C&amp;A&amp;R&amp;D &amp;T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H28"/>
  <sheetViews>
    <sheetView zoomScaleNormal="100" workbookViewId="0">
      <selection activeCell="E18" sqref="E18"/>
    </sheetView>
  </sheetViews>
  <sheetFormatPr defaultColWidth="8.85546875" defaultRowHeight="12.75" x14ac:dyDescent="0.2"/>
  <cols>
    <col min="1" max="1" width="6.5703125" style="111" customWidth="1"/>
    <col min="2" max="2" width="18.140625" style="111" bestFit="1" customWidth="1"/>
    <col min="3" max="3" width="10.28515625" style="111" bestFit="1" customWidth="1"/>
    <col min="4" max="4" width="5.85546875" style="111" bestFit="1" customWidth="1"/>
    <col min="5" max="5" width="14.85546875" style="111" customWidth="1"/>
    <col min="6" max="6" width="2" style="111" bestFit="1" customWidth="1"/>
    <col min="7" max="7" width="4" style="111" bestFit="1" customWidth="1"/>
    <col min="8" max="8" width="13.7109375" style="111" bestFit="1" customWidth="1"/>
    <col min="9" max="16384" width="8.85546875" style="111"/>
  </cols>
  <sheetData>
    <row r="1" spans="1:8" x14ac:dyDescent="0.2">
      <c r="B1" s="179" t="s">
        <v>69</v>
      </c>
      <c r="C1" s="113">
        <v>1.4</v>
      </c>
      <c r="D1" s="179"/>
    </row>
    <row r="2" spans="1:8" ht="13.5" thickBot="1" x14ac:dyDescent="0.25">
      <c r="B2" s="179"/>
      <c r="C2" s="179"/>
      <c r="D2" s="179"/>
    </row>
    <row r="3" spans="1:8" ht="26.25" thickBot="1" x14ac:dyDescent="0.25">
      <c r="A3" s="176" t="s">
        <v>126</v>
      </c>
      <c r="B3" s="114" t="s">
        <v>21</v>
      </c>
      <c r="C3" s="114" t="s">
        <v>127</v>
      </c>
      <c r="D3" s="114" t="s">
        <v>22</v>
      </c>
      <c r="H3" s="180"/>
    </row>
    <row r="4" spans="1:8" x14ac:dyDescent="0.2">
      <c r="A4" s="168">
        <v>14</v>
      </c>
      <c r="B4" s="168" t="s">
        <v>100</v>
      </c>
      <c r="C4" s="168">
        <v>5</v>
      </c>
      <c r="D4" s="168">
        <f>VLOOKUP(C4,$F$4:$G$9,2,FALSE)</f>
        <v>0</v>
      </c>
      <c r="F4" s="111">
        <v>1</v>
      </c>
      <c r="G4" s="111">
        <v>100</v>
      </c>
      <c r="H4" s="180"/>
    </row>
    <row r="5" spans="1:8" x14ac:dyDescent="0.2">
      <c r="A5" s="168">
        <v>17</v>
      </c>
      <c r="B5" s="154" t="s">
        <v>108</v>
      </c>
      <c r="C5" s="154">
        <v>5</v>
      </c>
      <c r="D5" s="154">
        <f>VLOOKUP(C5,$F$4:$G$9,2,FALSE)</f>
        <v>0</v>
      </c>
      <c r="F5" s="111">
        <v>2</v>
      </c>
      <c r="G5" s="111">
        <v>75</v>
      </c>
      <c r="H5" s="180"/>
    </row>
    <row r="6" spans="1:8" x14ac:dyDescent="0.2">
      <c r="A6" s="168">
        <v>16</v>
      </c>
      <c r="B6" s="154" t="s">
        <v>101</v>
      </c>
      <c r="C6" s="154" t="s">
        <v>43</v>
      </c>
      <c r="D6" s="154">
        <v>0</v>
      </c>
      <c r="F6" s="111">
        <v>3</v>
      </c>
      <c r="G6" s="111">
        <v>50</v>
      </c>
      <c r="H6" s="180"/>
    </row>
    <row r="7" spans="1:8" x14ac:dyDescent="0.2">
      <c r="A7" s="168">
        <v>18</v>
      </c>
      <c r="B7" s="154" t="s">
        <v>107</v>
      </c>
      <c r="C7" s="154">
        <v>1</v>
      </c>
      <c r="D7" s="154">
        <f>VLOOKUP(C7,$F$4:$G$9,2,FALSE)</f>
        <v>100</v>
      </c>
      <c r="F7" s="111">
        <v>4</v>
      </c>
      <c r="G7" s="111">
        <v>25</v>
      </c>
      <c r="H7" s="180"/>
    </row>
    <row r="8" spans="1:8" x14ac:dyDescent="0.2">
      <c r="A8" s="168">
        <v>10</v>
      </c>
      <c r="B8" s="154" t="s">
        <v>110</v>
      </c>
      <c r="C8" s="154">
        <v>4</v>
      </c>
      <c r="D8" s="154">
        <f>VLOOKUP(C8,$F$4:$G$9,2,FALSE)</f>
        <v>25</v>
      </c>
      <c r="F8" s="111">
        <v>5</v>
      </c>
      <c r="G8" s="111">
        <v>0</v>
      </c>
      <c r="H8" s="180"/>
    </row>
    <row r="9" spans="1:8" x14ac:dyDescent="0.2">
      <c r="A9" s="168">
        <v>11</v>
      </c>
      <c r="B9" s="154" t="s">
        <v>111</v>
      </c>
      <c r="C9" s="154">
        <v>5</v>
      </c>
      <c r="D9" s="154">
        <f>VLOOKUP(C9,$F$4:$G$9,2,FALSE)</f>
        <v>0</v>
      </c>
      <c r="H9" s="180"/>
    </row>
    <row r="10" spans="1:8" x14ac:dyDescent="0.2">
      <c r="A10" s="168">
        <v>3</v>
      </c>
      <c r="B10" s="154" t="s">
        <v>56</v>
      </c>
      <c r="C10" s="154">
        <v>4</v>
      </c>
      <c r="D10" s="154">
        <f>VLOOKUP(C10,$F$4:$G$9,2,FALSE)</f>
        <v>25</v>
      </c>
      <c r="H10" s="180"/>
    </row>
    <row r="11" spans="1:8" x14ac:dyDescent="0.2">
      <c r="A11" s="168">
        <v>13</v>
      </c>
      <c r="B11" s="154" t="s">
        <v>112</v>
      </c>
      <c r="C11" s="154" t="s">
        <v>43</v>
      </c>
      <c r="D11" s="154">
        <v>0</v>
      </c>
      <c r="H11" s="180"/>
    </row>
    <row r="12" spans="1:8" x14ac:dyDescent="0.2">
      <c r="A12" s="168">
        <v>15</v>
      </c>
      <c r="B12" s="154" t="s">
        <v>103</v>
      </c>
      <c r="C12" s="154" t="s">
        <v>43</v>
      </c>
      <c r="D12" s="154">
        <v>0</v>
      </c>
      <c r="H12" s="180"/>
    </row>
    <row r="13" spans="1:8" x14ac:dyDescent="0.2">
      <c r="A13" s="168">
        <v>1</v>
      </c>
      <c r="B13" s="154" t="s">
        <v>59</v>
      </c>
      <c r="C13" s="154">
        <v>1</v>
      </c>
      <c r="D13" s="154">
        <f t="shared" ref="D13:D21" si="0">VLOOKUP(C13,$F$4:$G$9,2,FALSE)</f>
        <v>100</v>
      </c>
      <c r="H13" s="181"/>
    </row>
    <row r="14" spans="1:8" x14ac:dyDescent="0.2">
      <c r="A14" s="168">
        <v>9</v>
      </c>
      <c r="B14" s="154" t="s">
        <v>102</v>
      </c>
      <c r="C14" s="154">
        <v>5</v>
      </c>
      <c r="D14" s="154">
        <f t="shared" si="0"/>
        <v>0</v>
      </c>
    </row>
    <row r="15" spans="1:8" x14ac:dyDescent="0.2">
      <c r="A15" s="168">
        <v>6</v>
      </c>
      <c r="B15" s="154" t="s">
        <v>58</v>
      </c>
      <c r="C15" s="154">
        <v>5</v>
      </c>
      <c r="D15" s="154">
        <f t="shared" si="0"/>
        <v>0</v>
      </c>
    </row>
    <row r="16" spans="1:8" x14ac:dyDescent="0.2">
      <c r="A16" s="168">
        <v>2</v>
      </c>
      <c r="B16" s="154" t="s">
        <v>105</v>
      </c>
      <c r="C16" s="154">
        <v>3</v>
      </c>
      <c r="D16" s="154">
        <f t="shared" si="0"/>
        <v>50</v>
      </c>
    </row>
    <row r="17" spans="1:4" x14ac:dyDescent="0.2">
      <c r="A17" s="168">
        <v>19</v>
      </c>
      <c r="B17" s="154" t="s">
        <v>99</v>
      </c>
      <c r="C17" s="154">
        <v>1</v>
      </c>
      <c r="D17" s="154">
        <f t="shared" si="0"/>
        <v>100</v>
      </c>
    </row>
    <row r="18" spans="1:4" x14ac:dyDescent="0.2">
      <c r="A18" s="168">
        <v>7</v>
      </c>
      <c r="B18" s="154" t="s">
        <v>113</v>
      </c>
      <c r="C18" s="154">
        <v>1</v>
      </c>
      <c r="D18" s="154">
        <f t="shared" si="0"/>
        <v>100</v>
      </c>
    </row>
    <row r="19" spans="1:4" x14ac:dyDescent="0.2">
      <c r="A19" s="168">
        <v>5</v>
      </c>
      <c r="B19" s="154" t="s">
        <v>97</v>
      </c>
      <c r="C19" s="154">
        <v>1</v>
      </c>
      <c r="D19" s="154">
        <f t="shared" si="0"/>
        <v>100</v>
      </c>
    </row>
    <row r="20" spans="1:4" x14ac:dyDescent="0.2">
      <c r="A20" s="168">
        <v>4</v>
      </c>
      <c r="B20" s="154" t="s">
        <v>109</v>
      </c>
      <c r="C20" s="154">
        <v>5</v>
      </c>
      <c r="D20" s="154">
        <f t="shared" si="0"/>
        <v>0</v>
      </c>
    </row>
    <row r="21" spans="1:4" x14ac:dyDescent="0.2">
      <c r="A21" s="168">
        <v>12</v>
      </c>
      <c r="B21" s="154" t="s">
        <v>104</v>
      </c>
      <c r="C21" s="154">
        <v>2</v>
      </c>
      <c r="D21" s="154">
        <f t="shared" si="0"/>
        <v>75</v>
      </c>
    </row>
    <row r="22" spans="1:4" ht="13.5" thickBot="1" x14ac:dyDescent="0.25">
      <c r="A22" s="178">
        <v>8</v>
      </c>
      <c r="B22" s="155" t="s">
        <v>106</v>
      </c>
      <c r="C22" s="155" t="s">
        <v>43</v>
      </c>
      <c r="D22" s="155">
        <v>0</v>
      </c>
    </row>
    <row r="24" spans="1:4" x14ac:dyDescent="0.2">
      <c r="A24" s="182"/>
    </row>
    <row r="25" spans="1:4" x14ac:dyDescent="0.2">
      <c r="A25" s="182"/>
    </row>
    <row r="26" spans="1:4" x14ac:dyDescent="0.2">
      <c r="A26" s="182"/>
    </row>
    <row r="27" spans="1:4" x14ac:dyDescent="0.2">
      <c r="A27" s="182"/>
    </row>
    <row r="28" spans="1:4" x14ac:dyDescent="0.2">
      <c r="A28" s="182"/>
    </row>
  </sheetData>
  <sortState ref="A4:D22">
    <sortCondition ref="B4:B22"/>
  </sortState>
  <phoneticPr fontId="28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</oddHeader>
  </headerFooter>
  <colBreaks count="1" manualBreakCount="1">
    <brk id="4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E22"/>
  <sheetViews>
    <sheetView zoomScaleNormal="100" workbookViewId="0">
      <selection activeCell="K15" sqref="K15"/>
    </sheetView>
  </sheetViews>
  <sheetFormatPr defaultColWidth="8.85546875" defaultRowHeight="12.75" x14ac:dyDescent="0.2"/>
  <cols>
    <col min="1" max="1" width="18.140625" style="111" bestFit="1" customWidth="1"/>
    <col min="2" max="2" width="13.7109375" style="111" bestFit="1" customWidth="1"/>
    <col min="3" max="3" width="5.85546875" style="111" bestFit="1" customWidth="1"/>
    <col min="4" max="4" width="9.140625" style="111" customWidth="1"/>
    <col min="5" max="5" width="6" style="111" bestFit="1" customWidth="1"/>
    <col min="6" max="10" width="9.140625" style="111" customWidth="1"/>
    <col min="11" max="16384" width="8.85546875" style="111"/>
  </cols>
  <sheetData>
    <row r="1" spans="1:5" x14ac:dyDescent="0.2">
      <c r="B1" s="113" t="s">
        <v>63</v>
      </c>
      <c r="C1" s="156"/>
    </row>
    <row r="2" spans="1:5" ht="13.5" thickBot="1" x14ac:dyDescent="0.25">
      <c r="B2" s="157"/>
    </row>
    <row r="3" spans="1:5" ht="13.5" thickBot="1" x14ac:dyDescent="0.25">
      <c r="A3" s="152" t="s">
        <v>21</v>
      </c>
      <c r="B3" s="158" t="s">
        <v>23</v>
      </c>
      <c r="C3" s="159" t="s">
        <v>22</v>
      </c>
      <c r="E3" s="111" t="s">
        <v>12</v>
      </c>
    </row>
    <row r="4" spans="1:5" x14ac:dyDescent="0.2">
      <c r="A4" s="153" t="s">
        <v>100</v>
      </c>
      <c r="B4" s="160">
        <v>2</v>
      </c>
      <c r="C4" s="161">
        <f t="shared" ref="C4:C22" si="0">IF(B4=3,$E$6,IF(B4=2,$E$5,IF(B4=1,$E$4,0)))</f>
        <v>75</v>
      </c>
      <c r="E4" s="132">
        <v>100</v>
      </c>
    </row>
    <row r="5" spans="1:5" x14ac:dyDescent="0.2">
      <c r="A5" s="154" t="s">
        <v>108</v>
      </c>
      <c r="B5" s="162">
        <v>1</v>
      </c>
      <c r="C5" s="163">
        <f t="shared" si="0"/>
        <v>100</v>
      </c>
      <c r="E5" s="132">
        <v>75</v>
      </c>
    </row>
    <row r="6" spans="1:5" x14ac:dyDescent="0.2">
      <c r="A6" s="154" t="s">
        <v>101</v>
      </c>
      <c r="B6" s="162">
        <v>1</v>
      </c>
      <c r="C6" s="163">
        <f t="shared" si="0"/>
        <v>100</v>
      </c>
      <c r="E6" s="132">
        <v>50</v>
      </c>
    </row>
    <row r="7" spans="1:5" x14ac:dyDescent="0.2">
      <c r="A7" s="154" t="s">
        <v>107</v>
      </c>
      <c r="B7" s="162">
        <v>1</v>
      </c>
      <c r="C7" s="163">
        <f t="shared" si="0"/>
        <v>100</v>
      </c>
      <c r="E7" s="132"/>
    </row>
    <row r="8" spans="1:5" x14ac:dyDescent="0.2">
      <c r="A8" s="154" t="s">
        <v>110</v>
      </c>
      <c r="B8" s="162">
        <v>1</v>
      </c>
      <c r="C8" s="163">
        <f t="shared" si="0"/>
        <v>100</v>
      </c>
    </row>
    <row r="9" spans="1:5" x14ac:dyDescent="0.2">
      <c r="A9" s="154" t="s">
        <v>111</v>
      </c>
      <c r="B9" s="162">
        <v>2</v>
      </c>
      <c r="C9" s="163">
        <f t="shared" si="0"/>
        <v>75</v>
      </c>
    </row>
    <row r="10" spans="1:5" x14ac:dyDescent="0.2">
      <c r="A10" s="154" t="s">
        <v>56</v>
      </c>
      <c r="B10" s="162">
        <v>1</v>
      </c>
      <c r="C10" s="163">
        <f t="shared" si="0"/>
        <v>100</v>
      </c>
    </row>
    <row r="11" spans="1:5" x14ac:dyDescent="0.2">
      <c r="A11" s="154" t="s">
        <v>112</v>
      </c>
      <c r="B11" s="162" t="s">
        <v>43</v>
      </c>
      <c r="C11" s="163">
        <f t="shared" si="0"/>
        <v>0</v>
      </c>
    </row>
    <row r="12" spans="1:5" x14ac:dyDescent="0.2">
      <c r="A12" s="154" t="s">
        <v>103</v>
      </c>
      <c r="B12" s="162">
        <v>3</v>
      </c>
      <c r="C12" s="163">
        <f t="shared" si="0"/>
        <v>50</v>
      </c>
    </row>
    <row r="13" spans="1:5" x14ac:dyDescent="0.2">
      <c r="A13" s="154" t="s">
        <v>59</v>
      </c>
      <c r="B13" s="162">
        <v>1</v>
      </c>
      <c r="C13" s="163">
        <f t="shared" si="0"/>
        <v>100</v>
      </c>
    </row>
    <row r="14" spans="1:5" x14ac:dyDescent="0.2">
      <c r="A14" s="154" t="s">
        <v>102</v>
      </c>
      <c r="B14" s="162">
        <v>1</v>
      </c>
      <c r="C14" s="163">
        <f t="shared" si="0"/>
        <v>100</v>
      </c>
    </row>
    <row r="15" spans="1:5" x14ac:dyDescent="0.2">
      <c r="A15" s="154" t="s">
        <v>58</v>
      </c>
      <c r="B15" s="162">
        <v>1</v>
      </c>
      <c r="C15" s="163">
        <f t="shared" si="0"/>
        <v>100</v>
      </c>
    </row>
    <row r="16" spans="1:5" x14ac:dyDescent="0.2">
      <c r="A16" s="154" t="s">
        <v>105</v>
      </c>
      <c r="B16" s="162">
        <v>1</v>
      </c>
      <c r="C16" s="163">
        <f t="shared" si="0"/>
        <v>100</v>
      </c>
    </row>
    <row r="17" spans="1:3" x14ac:dyDescent="0.2">
      <c r="A17" s="154" t="s">
        <v>99</v>
      </c>
      <c r="B17" s="162">
        <v>1</v>
      </c>
      <c r="C17" s="163">
        <f t="shared" si="0"/>
        <v>100</v>
      </c>
    </row>
    <row r="18" spans="1:3" x14ac:dyDescent="0.2">
      <c r="A18" s="154" t="s">
        <v>113</v>
      </c>
      <c r="B18" s="162">
        <v>1</v>
      </c>
      <c r="C18" s="163">
        <f t="shared" si="0"/>
        <v>100</v>
      </c>
    </row>
    <row r="19" spans="1:3" x14ac:dyDescent="0.2">
      <c r="A19" s="154" t="s">
        <v>97</v>
      </c>
      <c r="B19" s="162">
        <v>1</v>
      </c>
      <c r="C19" s="163">
        <f t="shared" si="0"/>
        <v>100</v>
      </c>
    </row>
    <row r="20" spans="1:3" x14ac:dyDescent="0.2">
      <c r="A20" s="154" t="s">
        <v>109</v>
      </c>
      <c r="B20" s="162">
        <v>1</v>
      </c>
      <c r="C20" s="163">
        <f t="shared" si="0"/>
        <v>100</v>
      </c>
    </row>
    <row r="21" spans="1:3" x14ac:dyDescent="0.2">
      <c r="A21" s="154" t="s">
        <v>104</v>
      </c>
      <c r="B21" s="162">
        <v>1</v>
      </c>
      <c r="C21" s="163">
        <f t="shared" si="0"/>
        <v>100</v>
      </c>
    </row>
    <row r="22" spans="1:3" ht="13.5" thickBot="1" x14ac:dyDescent="0.25">
      <c r="A22" s="155" t="s">
        <v>106</v>
      </c>
      <c r="B22" s="164" t="s">
        <v>43</v>
      </c>
      <c r="C22" s="165">
        <f t="shared" si="0"/>
        <v>0</v>
      </c>
    </row>
  </sheetData>
  <sortState ref="A4:C22">
    <sortCondition ref="A3"/>
  </sortState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>&amp;C&amp;A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  <pageSetUpPr fitToPage="1"/>
  </sheetPr>
  <dimension ref="A1:K23"/>
  <sheetViews>
    <sheetView zoomScaleNormal="100" workbookViewId="0">
      <selection activeCell="F5" sqref="F5"/>
    </sheetView>
  </sheetViews>
  <sheetFormatPr defaultColWidth="8.85546875" defaultRowHeight="12.75" x14ac:dyDescent="0.2"/>
  <cols>
    <col min="1" max="1" width="6" style="111" bestFit="1" customWidth="1"/>
    <col min="2" max="2" width="18.140625" style="111" bestFit="1" customWidth="1"/>
    <col min="3" max="3" width="15.140625" style="111" bestFit="1" customWidth="1"/>
    <col min="4" max="4" width="8.85546875" style="111" bestFit="1" customWidth="1"/>
    <col min="5" max="5" width="12" style="111" hidden="1" customWidth="1"/>
    <col min="6" max="6" width="10.28515625" style="111" bestFit="1" customWidth="1"/>
    <col min="7" max="7" width="7" style="111" customWidth="1"/>
    <col min="8" max="8" width="10.28515625" style="111" bestFit="1" customWidth="1"/>
    <col min="9" max="9" width="20" style="111" bestFit="1" customWidth="1"/>
    <col min="10" max="16384" width="8.85546875" style="111"/>
  </cols>
  <sheetData>
    <row r="1" spans="1:11" x14ac:dyDescent="0.2">
      <c r="C1" s="113" t="s">
        <v>128</v>
      </c>
      <c r="D1" s="167" t="s">
        <v>129</v>
      </c>
    </row>
    <row r="2" spans="1:11" ht="13.5" thickBot="1" x14ac:dyDescent="0.25">
      <c r="C2" s="157"/>
    </row>
    <row r="3" spans="1:11" ht="26.25" thickBot="1" x14ac:dyDescent="0.25">
      <c r="A3" s="176" t="s">
        <v>126</v>
      </c>
      <c r="B3" s="114" t="s">
        <v>21</v>
      </c>
      <c r="C3" s="169" t="s">
        <v>124</v>
      </c>
      <c r="D3" s="176" t="s">
        <v>45</v>
      </c>
      <c r="E3" s="176" t="s">
        <v>13</v>
      </c>
      <c r="F3" s="177" t="s">
        <v>22</v>
      </c>
      <c r="G3" s="117" t="s">
        <v>28</v>
      </c>
      <c r="H3" s="177" t="s">
        <v>6</v>
      </c>
    </row>
    <row r="4" spans="1:11" x14ac:dyDescent="0.2">
      <c r="A4" s="153">
        <v>14</v>
      </c>
      <c r="B4" s="153" t="s">
        <v>100</v>
      </c>
      <c r="C4" s="200">
        <v>4</v>
      </c>
      <c r="D4" s="153">
        <v>47.13</v>
      </c>
      <c r="E4" s="153">
        <f t="shared" ref="E4:E10" si="0">C4^3/D4</f>
        <v>1.3579461065138976</v>
      </c>
      <c r="F4" s="201">
        <f t="shared" ref="F4:F22" si="1">ROUND($K$5*E4/MAX($E$4:$E$22),0)</f>
        <v>628</v>
      </c>
      <c r="G4" s="202"/>
      <c r="H4" s="201">
        <f t="shared" ref="H4:H22" si="2">ROUND(F4-F4*G4,0)</f>
        <v>628</v>
      </c>
    </row>
    <row r="5" spans="1:11" x14ac:dyDescent="0.2">
      <c r="A5" s="168">
        <v>17</v>
      </c>
      <c r="B5" s="154" t="s">
        <v>108</v>
      </c>
      <c r="C5" s="171">
        <v>4</v>
      </c>
      <c r="D5" s="154">
        <v>49.87</v>
      </c>
      <c r="E5" s="154">
        <f t="shared" si="0"/>
        <v>1.2833366753559254</v>
      </c>
      <c r="F5" s="174">
        <f t="shared" si="1"/>
        <v>594</v>
      </c>
      <c r="G5" s="136"/>
      <c r="H5" s="173">
        <f t="shared" si="2"/>
        <v>594</v>
      </c>
      <c r="J5" s="111" t="s">
        <v>11</v>
      </c>
      <c r="K5" s="166">
        <v>1000</v>
      </c>
    </row>
    <row r="6" spans="1:11" x14ac:dyDescent="0.2">
      <c r="A6" s="168">
        <v>16</v>
      </c>
      <c r="B6" s="154" t="s">
        <v>101</v>
      </c>
      <c r="C6" s="171">
        <v>4</v>
      </c>
      <c r="D6" s="154">
        <v>41.3</v>
      </c>
      <c r="E6" s="154">
        <f t="shared" si="0"/>
        <v>1.5496368038740922</v>
      </c>
      <c r="F6" s="174">
        <f t="shared" si="1"/>
        <v>717</v>
      </c>
      <c r="G6" s="136"/>
      <c r="H6" s="173">
        <f t="shared" si="2"/>
        <v>717</v>
      </c>
    </row>
    <row r="7" spans="1:11" x14ac:dyDescent="0.2">
      <c r="A7" s="168">
        <v>18</v>
      </c>
      <c r="B7" s="154" t="s">
        <v>107</v>
      </c>
      <c r="C7" s="171">
        <v>4</v>
      </c>
      <c r="D7" s="154">
        <v>29.62</v>
      </c>
      <c r="E7" s="154">
        <f t="shared" si="0"/>
        <v>2.1607022282241726</v>
      </c>
      <c r="F7" s="174">
        <f t="shared" si="1"/>
        <v>1000</v>
      </c>
      <c r="G7" s="136"/>
      <c r="H7" s="173">
        <f t="shared" si="2"/>
        <v>1000</v>
      </c>
    </row>
    <row r="8" spans="1:11" x14ac:dyDescent="0.2">
      <c r="A8" s="168">
        <v>10</v>
      </c>
      <c r="B8" s="154" t="s">
        <v>110</v>
      </c>
      <c r="C8" s="183">
        <v>4</v>
      </c>
      <c r="D8" s="184">
        <v>46.09</v>
      </c>
      <c r="E8" s="184">
        <f t="shared" si="0"/>
        <v>1.3885875461054458</v>
      </c>
      <c r="F8" s="174">
        <f t="shared" si="1"/>
        <v>643</v>
      </c>
      <c r="G8" s="136"/>
      <c r="H8" s="173">
        <f t="shared" si="2"/>
        <v>643</v>
      </c>
    </row>
    <row r="9" spans="1:11" x14ac:dyDescent="0.2">
      <c r="A9" s="168">
        <v>11</v>
      </c>
      <c r="B9" s="154" t="s">
        <v>111</v>
      </c>
      <c r="C9" s="171">
        <v>4</v>
      </c>
      <c r="D9" s="154">
        <v>53.11</v>
      </c>
      <c r="E9" s="154">
        <f t="shared" si="0"/>
        <v>1.2050461306721898</v>
      </c>
      <c r="F9" s="174">
        <f t="shared" si="1"/>
        <v>558</v>
      </c>
      <c r="G9" s="136"/>
      <c r="H9" s="173">
        <f t="shared" si="2"/>
        <v>558</v>
      </c>
    </row>
    <row r="10" spans="1:11" x14ac:dyDescent="0.2">
      <c r="A10" s="168">
        <v>3</v>
      </c>
      <c r="B10" s="154" t="s">
        <v>56</v>
      </c>
      <c r="C10" s="171">
        <v>4</v>
      </c>
      <c r="D10" s="154">
        <v>54.33</v>
      </c>
      <c r="E10" s="154">
        <f t="shared" si="0"/>
        <v>1.1779863795324867</v>
      </c>
      <c r="F10" s="174">
        <f t="shared" si="1"/>
        <v>545</v>
      </c>
      <c r="G10" s="136"/>
      <c r="H10" s="173">
        <f t="shared" si="2"/>
        <v>545</v>
      </c>
    </row>
    <row r="11" spans="1:11" x14ac:dyDescent="0.2">
      <c r="A11" s="168">
        <v>13</v>
      </c>
      <c r="B11" s="154" t="s">
        <v>112</v>
      </c>
      <c r="C11" s="171" t="s">
        <v>43</v>
      </c>
      <c r="D11" s="154">
        <v>0</v>
      </c>
      <c r="E11" s="154">
        <v>0</v>
      </c>
      <c r="F11" s="174">
        <f t="shared" si="1"/>
        <v>0</v>
      </c>
      <c r="G11" s="136"/>
      <c r="H11" s="173">
        <f t="shared" si="2"/>
        <v>0</v>
      </c>
    </row>
    <row r="12" spans="1:11" x14ac:dyDescent="0.2">
      <c r="A12" s="168">
        <v>15</v>
      </c>
      <c r="B12" s="154" t="s">
        <v>103</v>
      </c>
      <c r="C12" s="171" t="s">
        <v>43</v>
      </c>
      <c r="D12" s="154">
        <v>0</v>
      </c>
      <c r="E12" s="154">
        <v>0</v>
      </c>
      <c r="F12" s="174">
        <f t="shared" si="1"/>
        <v>0</v>
      </c>
      <c r="G12" s="136"/>
      <c r="H12" s="173">
        <f t="shared" si="2"/>
        <v>0</v>
      </c>
    </row>
    <row r="13" spans="1:11" x14ac:dyDescent="0.2">
      <c r="A13" s="168">
        <v>1</v>
      </c>
      <c r="B13" s="154" t="s">
        <v>59</v>
      </c>
      <c r="C13" s="171">
        <v>4</v>
      </c>
      <c r="D13" s="154">
        <v>30.27</v>
      </c>
      <c r="E13" s="154">
        <f>C13^3/D13</f>
        <v>2.1143045920052859</v>
      </c>
      <c r="F13" s="174">
        <f t="shared" si="1"/>
        <v>979</v>
      </c>
      <c r="G13" s="136"/>
      <c r="H13" s="173">
        <f t="shared" si="2"/>
        <v>979</v>
      </c>
    </row>
    <row r="14" spans="1:11" x14ac:dyDescent="0.2">
      <c r="A14" s="168">
        <v>9</v>
      </c>
      <c r="B14" s="154" t="s">
        <v>102</v>
      </c>
      <c r="C14" s="171">
        <v>4</v>
      </c>
      <c r="D14" s="154">
        <v>45.01</v>
      </c>
      <c r="E14" s="154">
        <f>C14^3/D14</f>
        <v>1.4219062430570986</v>
      </c>
      <c r="F14" s="174">
        <f t="shared" si="1"/>
        <v>658</v>
      </c>
      <c r="G14" s="136"/>
      <c r="H14" s="173">
        <f t="shared" si="2"/>
        <v>658</v>
      </c>
    </row>
    <row r="15" spans="1:11" x14ac:dyDescent="0.2">
      <c r="A15" s="168">
        <v>6</v>
      </c>
      <c r="B15" s="154" t="s">
        <v>58</v>
      </c>
      <c r="C15" s="171">
        <v>4</v>
      </c>
      <c r="D15" s="154">
        <v>41.13</v>
      </c>
      <c r="E15" s="154">
        <f>C15^3/D15</f>
        <v>1.5560418186238754</v>
      </c>
      <c r="F15" s="174">
        <f t="shared" si="1"/>
        <v>720</v>
      </c>
      <c r="G15" s="136"/>
      <c r="H15" s="173">
        <f t="shared" si="2"/>
        <v>720</v>
      </c>
    </row>
    <row r="16" spans="1:11" x14ac:dyDescent="0.2">
      <c r="A16" s="168">
        <v>2</v>
      </c>
      <c r="B16" s="154" t="s">
        <v>105</v>
      </c>
      <c r="C16" s="171">
        <v>4</v>
      </c>
      <c r="D16" s="154">
        <v>33.04</v>
      </c>
      <c r="E16" s="154">
        <f>C16^3/D16</f>
        <v>1.937046004842615</v>
      </c>
      <c r="F16" s="174">
        <f t="shared" si="1"/>
        <v>896</v>
      </c>
      <c r="G16" s="136"/>
      <c r="H16" s="173">
        <f t="shared" si="2"/>
        <v>896</v>
      </c>
    </row>
    <row r="17" spans="1:9" x14ac:dyDescent="0.2">
      <c r="A17" s="168">
        <v>19</v>
      </c>
      <c r="B17" s="154" t="s">
        <v>99</v>
      </c>
      <c r="C17" s="183">
        <v>4</v>
      </c>
      <c r="D17" s="184">
        <v>0</v>
      </c>
      <c r="E17" s="184">
        <v>0</v>
      </c>
      <c r="F17" s="174">
        <f t="shared" si="1"/>
        <v>0</v>
      </c>
      <c r="G17" s="136"/>
      <c r="H17" s="173">
        <f t="shared" si="2"/>
        <v>0</v>
      </c>
      <c r="I17" s="111" t="s">
        <v>140</v>
      </c>
    </row>
    <row r="18" spans="1:9" x14ac:dyDescent="0.2">
      <c r="A18" s="168">
        <v>7</v>
      </c>
      <c r="B18" s="154" t="s">
        <v>113</v>
      </c>
      <c r="C18" s="171">
        <v>4</v>
      </c>
      <c r="D18" s="154">
        <v>33.68</v>
      </c>
      <c r="E18" s="154">
        <f>C18^3/D18</f>
        <v>1.9002375296912115</v>
      </c>
      <c r="F18" s="174">
        <f t="shared" si="1"/>
        <v>879</v>
      </c>
      <c r="G18" s="136"/>
      <c r="H18" s="173">
        <f t="shared" si="2"/>
        <v>879</v>
      </c>
    </row>
    <row r="19" spans="1:9" x14ac:dyDescent="0.2">
      <c r="A19" s="168">
        <v>5</v>
      </c>
      <c r="B19" s="154" t="s">
        <v>97</v>
      </c>
      <c r="C19" s="183">
        <v>4</v>
      </c>
      <c r="D19" s="184">
        <v>41.45</v>
      </c>
      <c r="E19" s="184">
        <f>C19^3/D19</f>
        <v>1.5440289505428226</v>
      </c>
      <c r="F19" s="174">
        <f t="shared" si="1"/>
        <v>715</v>
      </c>
      <c r="G19" s="136"/>
      <c r="H19" s="173">
        <f t="shared" si="2"/>
        <v>715</v>
      </c>
    </row>
    <row r="20" spans="1:9" x14ac:dyDescent="0.2">
      <c r="A20" s="168">
        <v>4</v>
      </c>
      <c r="B20" s="154" t="s">
        <v>109</v>
      </c>
      <c r="C20" s="183">
        <v>4</v>
      </c>
      <c r="D20" s="184">
        <v>57.4</v>
      </c>
      <c r="E20" s="184">
        <f>C20^3/D20</f>
        <v>1.1149825783972125</v>
      </c>
      <c r="F20" s="174">
        <f t="shared" si="1"/>
        <v>516</v>
      </c>
      <c r="G20" s="136"/>
      <c r="H20" s="173">
        <f t="shared" si="2"/>
        <v>516</v>
      </c>
    </row>
    <row r="21" spans="1:9" x14ac:dyDescent="0.2">
      <c r="A21" s="168">
        <v>12</v>
      </c>
      <c r="B21" s="154" t="s">
        <v>104</v>
      </c>
      <c r="C21" s="171">
        <v>4</v>
      </c>
      <c r="D21" s="154">
        <v>36.42</v>
      </c>
      <c r="E21" s="154">
        <f>C21^3/D21</f>
        <v>1.7572762218561229</v>
      </c>
      <c r="F21" s="174">
        <f t="shared" si="1"/>
        <v>813</v>
      </c>
      <c r="G21" s="136"/>
      <c r="H21" s="173">
        <f t="shared" si="2"/>
        <v>813</v>
      </c>
    </row>
    <row r="22" spans="1:9" ht="13.5" thickBot="1" x14ac:dyDescent="0.25">
      <c r="A22" s="178">
        <v>8</v>
      </c>
      <c r="B22" s="155" t="s">
        <v>106</v>
      </c>
      <c r="C22" s="172" t="s">
        <v>43</v>
      </c>
      <c r="D22" s="155">
        <v>0</v>
      </c>
      <c r="E22" s="155">
        <v>0</v>
      </c>
      <c r="F22" s="175">
        <f t="shared" si="1"/>
        <v>0</v>
      </c>
      <c r="G22" s="203"/>
      <c r="H22" s="204">
        <f t="shared" si="2"/>
        <v>0</v>
      </c>
    </row>
    <row r="23" spans="1:9" ht="15" x14ac:dyDescent="0.25">
      <c r="A23"/>
      <c r="B23"/>
    </row>
  </sheetData>
  <sortState ref="A4:I22">
    <sortCondition ref="B4:B22"/>
  </sortState>
  <pageMargins left="0.70866141732283472" right="0.70866141732283472" top="0.74803149606299213" bottom="0.74803149606299213" header="0.31496062992125984" footer="0.31496062992125984"/>
  <pageSetup paperSize="9" scale="91" orientation="portrait" verticalDpi="0" r:id="rId1"/>
  <headerFooter>
    <oddHeader>&amp;C&amp;A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tabColor rgb="FF92D050"/>
  </sheetPr>
  <dimension ref="A1:H28"/>
  <sheetViews>
    <sheetView zoomScaleNormal="100" workbookViewId="0">
      <selection activeCell="A3" sqref="A3:D22"/>
    </sheetView>
  </sheetViews>
  <sheetFormatPr defaultColWidth="8.85546875" defaultRowHeight="12.75" x14ac:dyDescent="0.2"/>
  <cols>
    <col min="1" max="1" width="6.5703125" style="111" customWidth="1"/>
    <col min="2" max="2" width="18.140625" style="111" bestFit="1" customWidth="1"/>
    <col min="3" max="3" width="10.28515625" style="111" bestFit="1" customWidth="1"/>
    <col min="4" max="4" width="5.85546875" style="111" bestFit="1" customWidth="1"/>
    <col min="5" max="5" width="14.85546875" style="111" customWidth="1"/>
    <col min="6" max="6" width="2" style="111" bestFit="1" customWidth="1"/>
    <col min="7" max="7" width="4" style="111" bestFit="1" customWidth="1"/>
    <col min="8" max="8" width="13.7109375" style="111" bestFit="1" customWidth="1"/>
    <col min="9" max="16384" width="8.85546875" style="111"/>
  </cols>
  <sheetData>
    <row r="1" spans="1:8" x14ac:dyDescent="0.2">
      <c r="B1" s="179" t="s">
        <v>70</v>
      </c>
      <c r="C1" s="113">
        <v>1.7</v>
      </c>
      <c r="D1" s="179"/>
    </row>
    <row r="2" spans="1:8" ht="13.5" thickBot="1" x14ac:dyDescent="0.25">
      <c r="B2" s="179"/>
      <c r="C2" s="179"/>
      <c r="D2" s="179"/>
    </row>
    <row r="3" spans="1:8" ht="26.25" thickBot="1" x14ac:dyDescent="0.25">
      <c r="A3" s="176" t="s">
        <v>126</v>
      </c>
      <c r="B3" s="114" t="s">
        <v>21</v>
      </c>
      <c r="C3" s="114" t="s">
        <v>145</v>
      </c>
      <c r="D3" s="114" t="s">
        <v>22</v>
      </c>
      <c r="H3" s="180"/>
    </row>
    <row r="4" spans="1:8" x14ac:dyDescent="0.2">
      <c r="A4" s="168">
        <v>14</v>
      </c>
      <c r="B4" s="168" t="s">
        <v>100</v>
      </c>
      <c r="C4" s="168">
        <v>4</v>
      </c>
      <c r="D4" s="168">
        <f t="shared" ref="D4:D10" si="0">VLOOKUP(C4,$F$4:$G$9,2,FALSE)</f>
        <v>25</v>
      </c>
      <c r="F4" s="111">
        <v>1</v>
      </c>
      <c r="G4" s="111">
        <v>100</v>
      </c>
      <c r="H4" s="180"/>
    </row>
    <row r="5" spans="1:8" x14ac:dyDescent="0.2">
      <c r="A5" s="168">
        <v>17</v>
      </c>
      <c r="B5" s="154" t="s">
        <v>108</v>
      </c>
      <c r="C5" s="154">
        <v>1</v>
      </c>
      <c r="D5" s="154">
        <f t="shared" si="0"/>
        <v>100</v>
      </c>
      <c r="F5" s="111">
        <v>2</v>
      </c>
      <c r="G5" s="111">
        <v>75</v>
      </c>
      <c r="H5" s="180"/>
    </row>
    <row r="6" spans="1:8" x14ac:dyDescent="0.2">
      <c r="A6" s="168">
        <v>16</v>
      </c>
      <c r="B6" s="154" t="s">
        <v>101</v>
      </c>
      <c r="C6" s="154">
        <v>1</v>
      </c>
      <c r="D6" s="154">
        <f t="shared" si="0"/>
        <v>100</v>
      </c>
      <c r="F6" s="111">
        <v>3</v>
      </c>
      <c r="G6" s="111">
        <v>50</v>
      </c>
      <c r="H6" s="180"/>
    </row>
    <row r="7" spans="1:8" x14ac:dyDescent="0.2">
      <c r="A7" s="168">
        <v>18</v>
      </c>
      <c r="B7" s="154" t="s">
        <v>107</v>
      </c>
      <c r="C7" s="154">
        <v>1</v>
      </c>
      <c r="D7" s="154">
        <f t="shared" si="0"/>
        <v>100</v>
      </c>
      <c r="F7" s="111">
        <v>4</v>
      </c>
      <c r="G7" s="111">
        <v>25</v>
      </c>
      <c r="H7" s="180"/>
    </row>
    <row r="8" spans="1:8" x14ac:dyDescent="0.2">
      <c r="A8" s="168">
        <v>10</v>
      </c>
      <c r="B8" s="154" t="s">
        <v>110</v>
      </c>
      <c r="C8" s="154">
        <v>4</v>
      </c>
      <c r="D8" s="154">
        <f t="shared" si="0"/>
        <v>25</v>
      </c>
      <c r="F8" s="111">
        <v>5</v>
      </c>
      <c r="G8" s="111">
        <v>0</v>
      </c>
      <c r="H8" s="180"/>
    </row>
    <row r="9" spans="1:8" x14ac:dyDescent="0.2">
      <c r="A9" s="168">
        <v>11</v>
      </c>
      <c r="B9" s="154" t="s">
        <v>111</v>
      </c>
      <c r="C9" s="154">
        <v>1</v>
      </c>
      <c r="D9" s="154">
        <f t="shared" si="0"/>
        <v>100</v>
      </c>
      <c r="H9" s="180"/>
    </row>
    <row r="10" spans="1:8" x14ac:dyDescent="0.2">
      <c r="A10" s="168">
        <v>3</v>
      </c>
      <c r="B10" s="154" t="s">
        <v>56</v>
      </c>
      <c r="C10" s="154">
        <v>2</v>
      </c>
      <c r="D10" s="154">
        <f t="shared" si="0"/>
        <v>75</v>
      </c>
      <c r="H10" s="180"/>
    </row>
    <row r="11" spans="1:8" x14ac:dyDescent="0.2">
      <c r="A11" s="168">
        <v>13</v>
      </c>
      <c r="B11" s="154" t="s">
        <v>112</v>
      </c>
      <c r="C11" s="154" t="s">
        <v>43</v>
      </c>
      <c r="D11" s="154">
        <v>0</v>
      </c>
      <c r="H11" s="180"/>
    </row>
    <row r="12" spans="1:8" x14ac:dyDescent="0.2">
      <c r="A12" s="168">
        <v>15</v>
      </c>
      <c r="B12" s="154" t="s">
        <v>103</v>
      </c>
      <c r="C12" s="154" t="s">
        <v>43</v>
      </c>
      <c r="D12" s="154">
        <v>0</v>
      </c>
      <c r="H12" s="180"/>
    </row>
    <row r="13" spans="1:8" x14ac:dyDescent="0.2">
      <c r="A13" s="168">
        <v>1</v>
      </c>
      <c r="B13" s="154" t="s">
        <v>59</v>
      </c>
      <c r="C13" s="154">
        <v>1</v>
      </c>
      <c r="D13" s="154">
        <f t="shared" ref="D13:D21" si="1">VLOOKUP(C13,$F$4:$G$9,2,FALSE)</f>
        <v>100</v>
      </c>
      <c r="H13" s="181"/>
    </row>
    <row r="14" spans="1:8" x14ac:dyDescent="0.2">
      <c r="A14" s="168">
        <v>9</v>
      </c>
      <c r="B14" s="154" t="s">
        <v>102</v>
      </c>
      <c r="C14" s="154">
        <v>5</v>
      </c>
      <c r="D14" s="154">
        <f t="shared" si="1"/>
        <v>0</v>
      </c>
    </row>
    <row r="15" spans="1:8" x14ac:dyDescent="0.2">
      <c r="A15" s="168">
        <v>6</v>
      </c>
      <c r="B15" s="154" t="s">
        <v>58</v>
      </c>
      <c r="C15" s="154">
        <v>5</v>
      </c>
      <c r="D15" s="154">
        <f t="shared" si="1"/>
        <v>0</v>
      </c>
    </row>
    <row r="16" spans="1:8" x14ac:dyDescent="0.2">
      <c r="A16" s="168">
        <v>2</v>
      </c>
      <c r="B16" s="154" t="s">
        <v>105</v>
      </c>
      <c r="C16" s="154">
        <v>1</v>
      </c>
      <c r="D16" s="154">
        <f t="shared" si="1"/>
        <v>100</v>
      </c>
    </row>
    <row r="17" spans="1:4" x14ac:dyDescent="0.2">
      <c r="A17" s="168">
        <v>19</v>
      </c>
      <c r="B17" s="154" t="s">
        <v>99</v>
      </c>
      <c r="C17" s="154">
        <v>1</v>
      </c>
      <c r="D17" s="154">
        <f t="shared" si="1"/>
        <v>100</v>
      </c>
    </row>
    <row r="18" spans="1:4" x14ac:dyDescent="0.2">
      <c r="A18" s="168">
        <v>7</v>
      </c>
      <c r="B18" s="154" t="s">
        <v>113</v>
      </c>
      <c r="C18" s="154">
        <v>1</v>
      </c>
      <c r="D18" s="154">
        <f t="shared" si="1"/>
        <v>100</v>
      </c>
    </row>
    <row r="19" spans="1:4" x14ac:dyDescent="0.2">
      <c r="A19" s="168">
        <v>5</v>
      </c>
      <c r="B19" s="154" t="s">
        <v>97</v>
      </c>
      <c r="C19" s="154">
        <v>2</v>
      </c>
      <c r="D19" s="154">
        <f t="shared" si="1"/>
        <v>75</v>
      </c>
    </row>
    <row r="20" spans="1:4" x14ac:dyDescent="0.2">
      <c r="A20" s="168">
        <v>4</v>
      </c>
      <c r="B20" s="154" t="s">
        <v>109</v>
      </c>
      <c r="C20" s="154">
        <v>3</v>
      </c>
      <c r="D20" s="154">
        <f t="shared" si="1"/>
        <v>50</v>
      </c>
    </row>
    <row r="21" spans="1:4" x14ac:dyDescent="0.2">
      <c r="A21" s="168">
        <v>12</v>
      </c>
      <c r="B21" s="154" t="s">
        <v>104</v>
      </c>
      <c r="C21" s="154">
        <v>1</v>
      </c>
      <c r="D21" s="154">
        <f t="shared" si="1"/>
        <v>100</v>
      </c>
    </row>
    <row r="22" spans="1:4" ht="13.5" thickBot="1" x14ac:dyDescent="0.25">
      <c r="A22" s="178">
        <v>8</v>
      </c>
      <c r="B22" s="155" t="s">
        <v>106</v>
      </c>
      <c r="C22" s="155" t="s">
        <v>43</v>
      </c>
      <c r="D22" s="155">
        <v>0</v>
      </c>
    </row>
    <row r="24" spans="1:4" x14ac:dyDescent="0.2">
      <c r="A24" s="182"/>
    </row>
    <row r="25" spans="1:4" x14ac:dyDescent="0.2">
      <c r="A25" s="182"/>
    </row>
    <row r="26" spans="1:4" x14ac:dyDescent="0.2">
      <c r="A26" s="182"/>
    </row>
    <row r="27" spans="1:4" x14ac:dyDescent="0.2">
      <c r="A27" s="182"/>
    </row>
    <row r="28" spans="1:4" x14ac:dyDescent="0.2">
      <c r="A28" s="182"/>
    </row>
  </sheetData>
  <sortState ref="A4:D22">
    <sortCondition ref="B4:B22"/>
  </sortState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&amp;C&amp;A</oddHead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32</vt:i4>
      </vt:variant>
    </vt:vector>
  </HeadingPairs>
  <TitlesOfParts>
    <vt:vector size="64" baseType="lpstr">
      <vt:lpstr>Pilots</vt:lpstr>
      <vt:lpstr>Intermediate results BOPC 2014</vt:lpstr>
      <vt:lpstr>1.1 Navigation</vt:lpstr>
      <vt:lpstr>1.2 Clear start I</vt:lpstr>
      <vt:lpstr>1.3 Slalom I</vt:lpstr>
      <vt:lpstr>1.4 Precision landing I</vt:lpstr>
      <vt:lpstr>1.5 Clear start II</vt:lpstr>
      <vt:lpstr>1.6 Slalom II</vt:lpstr>
      <vt:lpstr>1.7 Precision landing II</vt:lpstr>
      <vt:lpstr>1.8 Short takeoff I</vt:lpstr>
      <vt:lpstr>1.9 Slalom III</vt:lpstr>
      <vt:lpstr>1.10 Bowling landing I</vt:lpstr>
      <vt:lpstr>1.11 Short takeoff II</vt:lpstr>
      <vt:lpstr>1.12 Slalom IV</vt:lpstr>
      <vt:lpstr>1.13 Bowling landing II</vt:lpstr>
      <vt:lpstr>1.14. Economy + Distance</vt:lpstr>
      <vt:lpstr>1.15 Carousel</vt:lpstr>
      <vt:lpstr>1.16 Slalom V</vt:lpstr>
      <vt:lpstr>1.17 Fast Slow</vt:lpstr>
      <vt:lpstr>1.18 Japanese slalom</vt:lpstr>
      <vt:lpstr>1.19 Cloverleaf</vt:lpstr>
      <vt:lpstr>1.20 Slalom VI</vt:lpstr>
      <vt:lpstr>Eight2.2</vt:lpstr>
      <vt:lpstr>Tīrs starts1.1 (2)</vt:lpstr>
      <vt:lpstr>Nosēšanās precizitāte 2.1.</vt:lpstr>
      <vt:lpstr>Ātrs starts 2.1</vt:lpstr>
      <vt:lpstr>Triangle</vt:lpstr>
      <vt:lpstr>L 3.2.</vt:lpstr>
      <vt:lpstr>Boulinga nosēšanās 3.2.</vt:lpstr>
      <vt:lpstr>Y 3.3.</vt:lpstr>
      <vt:lpstr>Precision 3.3.</vt:lpstr>
      <vt:lpstr>Economy</vt:lpstr>
      <vt:lpstr>'1.1 Navigation'!Print_Area</vt:lpstr>
      <vt:lpstr>'1.10 Bowling landing I'!Print_Area</vt:lpstr>
      <vt:lpstr>'1.11 Short takeoff II'!Print_Area</vt:lpstr>
      <vt:lpstr>'1.12 Slalom IV'!Print_Area</vt:lpstr>
      <vt:lpstr>'1.13 Bowling landing II'!Print_Area</vt:lpstr>
      <vt:lpstr>'1.14. Economy + Distance'!Print_Area</vt:lpstr>
      <vt:lpstr>'1.15 Carousel'!Print_Area</vt:lpstr>
      <vt:lpstr>'1.16 Slalom V'!Print_Area</vt:lpstr>
      <vt:lpstr>'1.17 Fast Slow'!Print_Area</vt:lpstr>
      <vt:lpstr>'1.18 Japanese slalom'!Print_Area</vt:lpstr>
      <vt:lpstr>'1.19 Cloverleaf'!Print_Area</vt:lpstr>
      <vt:lpstr>'1.2 Clear start I'!Print_Area</vt:lpstr>
      <vt:lpstr>'1.20 Slalom VI'!Print_Area</vt:lpstr>
      <vt:lpstr>'1.3 Slalom I'!Print_Area</vt:lpstr>
      <vt:lpstr>'1.4 Precision landing I'!Print_Area</vt:lpstr>
      <vt:lpstr>'1.5 Clear start II'!Print_Area</vt:lpstr>
      <vt:lpstr>'1.6 Slalom II'!Print_Area</vt:lpstr>
      <vt:lpstr>'1.7 Precision landing II'!Print_Area</vt:lpstr>
      <vt:lpstr>'1.8 Short takeoff I'!Print_Area</vt:lpstr>
      <vt:lpstr>'1.9 Slalom III'!Print_Area</vt:lpstr>
      <vt:lpstr>'Ātrs starts 2.1'!Print_Area</vt:lpstr>
      <vt:lpstr>'Boulinga nosēšanās 3.2.'!Print_Area</vt:lpstr>
      <vt:lpstr>Economy!Print_Area</vt:lpstr>
      <vt:lpstr>Eight2.2!Print_Area</vt:lpstr>
      <vt:lpstr>'Intermediate results BOPC 2014'!Print_Area</vt:lpstr>
      <vt:lpstr>'L 3.2.'!Print_Area</vt:lpstr>
      <vt:lpstr>'Nosēšanās precizitāte 2.1.'!Print_Area</vt:lpstr>
      <vt:lpstr>'Precision 3.3.'!Print_Area</vt:lpstr>
      <vt:lpstr>'Tīrs starts1.1 (2)'!Print_Area</vt:lpstr>
      <vt:lpstr>Triangle!Print_Area</vt:lpstr>
      <vt:lpstr>'Y 3.3.'!Print_Area</vt:lpstr>
      <vt:lpstr>'Intermediate results BOPC 2014'!Print_Titles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Onkelis</dc:creator>
  <cp:lastModifiedBy>Roberts Onkelis</cp:lastModifiedBy>
  <cp:lastPrinted>2014-07-27T07:06:34Z</cp:lastPrinted>
  <dcterms:created xsi:type="dcterms:W3CDTF">2010-09-22T12:07:03Z</dcterms:created>
  <dcterms:modified xsi:type="dcterms:W3CDTF">2014-12-18T09:10:25Z</dcterms:modified>
</cp:coreProperties>
</file>